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Rob\Desktop\FT2026\Weekly Stats\"/>
    </mc:Choice>
  </mc:AlternateContent>
  <xr:revisionPtr revIDLastSave="0" documentId="8_{627951C0-2273-4E5D-B8E8-D065A658A79A}" xr6:coauthVersionLast="47" xr6:coauthVersionMax="47" xr10:uidLastSave="{00000000-0000-0000-0000-000000000000}"/>
  <bookViews>
    <workbookView xWindow="28680" yWindow="-120" windowWidth="24240" windowHeight="17640" xr2:uid="{00000000-000D-0000-FFFF-FFFF00000000}"/>
  </bookViews>
  <sheets>
    <sheet name="Stats Calculator" sheetId="17" r:id="rId1"/>
    <sheet name="Code Table" sheetId="21" state="hidden" r:id="rId2"/>
    <sheet name="Live Ladder" sheetId="15" r:id="rId3"/>
    <sheet name="Engine" sheetId="1" state="hidden" r:id="rId4"/>
    <sheet name="All Tipsters" sheetId="20" r:id="rId5"/>
    <sheet name="Data" sheetId="14" state="hidden" r:id="rId6"/>
    <sheet name="Logos" sheetId="18" state="hidden" r:id="rId7"/>
    <sheet name="Sheet1" sheetId="19" state="hidden" r:id="rId8"/>
  </sheets>
  <externalReferences>
    <externalReference r:id="rId9"/>
    <externalReference r:id="rId10"/>
  </externalReferences>
  <definedNames>
    <definedName name="_Bye1">#REF!</definedName>
    <definedName name="_Bye2">#REF!</definedName>
    <definedName name="_Bye3">#REF!</definedName>
    <definedName name="_Bye4">#REF!</definedName>
    <definedName name="_xlnm._FilterDatabase" localSheetId="4" hidden="1">'All Tipsters'!$B$4:$K$4</definedName>
    <definedName name="_xlnm._FilterDatabase" localSheetId="5" hidden="1">Data!$A$2:$Z$80</definedName>
    <definedName name="_xlnm._FilterDatabase" localSheetId="3" hidden="1">Engine!$B$1:$AD$95</definedName>
    <definedName name="_xlnm._FilterDatabase" localSheetId="7" hidden="1">Sheet1!$A$2:$S$14</definedName>
    <definedName name="IconPaste" localSheetId="6">Logos!#REF!</definedName>
    <definedName name="IconPaste" localSheetId="0">'Stats Calculator'!$G$8</definedName>
    <definedName name="IconPaste">#REF!</definedName>
    <definedName name="LeaderBoard">'[1]The Ladder - new'!$AC$18:$AC$32</definedName>
    <definedName name="_xlnm.Print_Area" localSheetId="6">Logos!#REF!</definedName>
    <definedName name="_xlnm.Print_Area" localSheetId="0">'Stats Calculator'!$B$1:$R$59</definedName>
    <definedName name="Rounds">'[2]Draw and Results'!$A$32:$A$57</definedName>
    <definedName name="Source1">#REF!</definedName>
    <definedName name="Source2">#REF!</definedName>
    <definedName name="Target">#REF!</definedName>
    <definedName name="Target1">#REF!</definedName>
    <definedName name="Target2">#REF!</definedName>
    <definedName name="Target3">#REF!</definedName>
    <definedName name="Target4">#REF!</definedName>
    <definedName name="Target5">#REF!</definedName>
    <definedName name="Target6">#REF!</definedName>
    <definedName name="Target7">#REF!</definedName>
    <definedName name="Target8">#REF!</definedName>
    <definedName name="Teams" localSheetId="6">Logos!#REF!</definedName>
    <definedName name="Teams" localSheetId="0">'Stats Calculator'!$T$24</definedName>
    <definedName name="Teams">#REF!</definedName>
    <definedName name="Tippers">[2]Data!$AN$4:$AN$75</definedName>
    <definedName name="Tipster">[2]Data!$AN$4:$AN$75</definedName>
    <definedName name="TipsterList">[2]Data!$AN$4:$AN$75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7" l="1"/>
  <c r="P13" i="15"/>
  <c r="Q13" i="15"/>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2" i="21"/>
  <c r="B95" i="21"/>
  <c r="B94" i="21"/>
  <c r="B93" i="21"/>
  <c r="B92" i="21"/>
  <c r="B91" i="21"/>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AI23" i="17"/>
  <c r="P95" i="1"/>
  <c r="O95" i="1"/>
  <c r="N95" i="1"/>
  <c r="M95" i="1"/>
  <c r="L95" i="1"/>
  <c r="R95" i="1" l="1"/>
  <c r="S95" i="1"/>
  <c r="Q95" i="1"/>
  <c r="J95" i="1"/>
  <c r="K95" i="1"/>
  <c r="I95" i="1"/>
  <c r="H95" i="1"/>
  <c r="H91" i="1"/>
  <c r="I91" i="1"/>
  <c r="J91" i="1"/>
  <c r="K91" i="1"/>
  <c r="L91" i="1"/>
  <c r="M91" i="1"/>
  <c r="N91" i="1"/>
  <c r="O91" i="1"/>
  <c r="P91" i="1"/>
  <c r="Q91" i="1"/>
  <c r="AB91" i="1" s="1"/>
  <c r="R91" i="1"/>
  <c r="S91" i="1"/>
  <c r="H92" i="1"/>
  <c r="I92" i="1"/>
  <c r="J92" i="1"/>
  <c r="K92" i="1"/>
  <c r="L92" i="1"/>
  <c r="M92" i="1"/>
  <c r="N92" i="1"/>
  <c r="O92" i="1"/>
  <c r="P92" i="1"/>
  <c r="Q92" i="1"/>
  <c r="AB92" i="1" s="1"/>
  <c r="R92" i="1"/>
  <c r="S92" i="1"/>
  <c r="H3" i="1"/>
  <c r="I3" i="1"/>
  <c r="J3" i="1"/>
  <c r="K3" i="1"/>
  <c r="L3" i="1"/>
  <c r="M3" i="1"/>
  <c r="N3" i="1"/>
  <c r="O3" i="1"/>
  <c r="P3" i="1"/>
  <c r="Q3" i="1"/>
  <c r="R3" i="1"/>
  <c r="S3" i="1"/>
  <c r="H4" i="1"/>
  <c r="I4" i="1"/>
  <c r="J4" i="1"/>
  <c r="K4" i="1"/>
  <c r="L4" i="1"/>
  <c r="M4" i="1"/>
  <c r="N4" i="1"/>
  <c r="O4" i="1"/>
  <c r="P4" i="1"/>
  <c r="Q4" i="1"/>
  <c r="R4" i="1"/>
  <c r="S4" i="1"/>
  <c r="H5" i="1"/>
  <c r="I5" i="1"/>
  <c r="J5" i="1"/>
  <c r="K5" i="1"/>
  <c r="L5" i="1"/>
  <c r="M5" i="1"/>
  <c r="N5" i="1"/>
  <c r="O5" i="1"/>
  <c r="P5" i="1"/>
  <c r="Q5" i="1"/>
  <c r="R5" i="1"/>
  <c r="S5" i="1"/>
  <c r="H6" i="1"/>
  <c r="I6" i="1"/>
  <c r="J6" i="1"/>
  <c r="K6" i="1"/>
  <c r="L6" i="1"/>
  <c r="M6" i="1"/>
  <c r="N6" i="1"/>
  <c r="O6" i="1"/>
  <c r="P6" i="1"/>
  <c r="Q6" i="1"/>
  <c r="R6" i="1"/>
  <c r="S6" i="1"/>
  <c r="H7" i="1"/>
  <c r="I7" i="1"/>
  <c r="J7" i="1"/>
  <c r="K7" i="1"/>
  <c r="L7" i="1"/>
  <c r="M7" i="1"/>
  <c r="N7" i="1"/>
  <c r="O7" i="1"/>
  <c r="P7" i="1"/>
  <c r="Q7" i="1"/>
  <c r="R7" i="1"/>
  <c r="S7" i="1"/>
  <c r="H8" i="1"/>
  <c r="I8" i="1"/>
  <c r="J8" i="1"/>
  <c r="K8" i="1"/>
  <c r="L8" i="1"/>
  <c r="M8" i="1"/>
  <c r="N8" i="1"/>
  <c r="O8" i="1"/>
  <c r="P8" i="1"/>
  <c r="Q8" i="1"/>
  <c r="R8" i="1"/>
  <c r="S8" i="1"/>
  <c r="H9" i="1"/>
  <c r="I9" i="1"/>
  <c r="J9" i="1"/>
  <c r="K9" i="1"/>
  <c r="L9" i="1"/>
  <c r="M9" i="1"/>
  <c r="N9" i="1"/>
  <c r="O9" i="1"/>
  <c r="P9" i="1"/>
  <c r="Q9" i="1"/>
  <c r="R9" i="1"/>
  <c r="S9" i="1"/>
  <c r="H10" i="1"/>
  <c r="I10" i="1"/>
  <c r="J10" i="1"/>
  <c r="K10" i="1"/>
  <c r="L10" i="1"/>
  <c r="M10" i="1"/>
  <c r="N10" i="1"/>
  <c r="O10" i="1"/>
  <c r="P10" i="1"/>
  <c r="Q10" i="1"/>
  <c r="R10" i="1"/>
  <c r="S10" i="1"/>
  <c r="H11" i="1"/>
  <c r="I11" i="1"/>
  <c r="J11" i="1"/>
  <c r="K11" i="1"/>
  <c r="L11" i="1"/>
  <c r="M11" i="1"/>
  <c r="N11" i="1"/>
  <c r="O11" i="1"/>
  <c r="P11" i="1"/>
  <c r="Q11" i="1"/>
  <c r="R11" i="1"/>
  <c r="S11" i="1"/>
  <c r="H12" i="1"/>
  <c r="I12" i="1"/>
  <c r="J12" i="1"/>
  <c r="K12" i="1"/>
  <c r="L12" i="1"/>
  <c r="M12" i="1"/>
  <c r="N12" i="1"/>
  <c r="O12" i="1"/>
  <c r="P12" i="1"/>
  <c r="Q12" i="1"/>
  <c r="R12" i="1"/>
  <c r="S12" i="1"/>
  <c r="H13" i="1"/>
  <c r="I13" i="1"/>
  <c r="J13" i="1"/>
  <c r="K13" i="1"/>
  <c r="L13" i="1"/>
  <c r="M13" i="1"/>
  <c r="N13" i="1"/>
  <c r="O13" i="1"/>
  <c r="P13" i="1"/>
  <c r="Q13" i="1"/>
  <c r="R13" i="1"/>
  <c r="S13" i="1"/>
  <c r="H14" i="1"/>
  <c r="I14" i="1"/>
  <c r="J14" i="1"/>
  <c r="K14" i="1"/>
  <c r="L14" i="1"/>
  <c r="M14" i="1"/>
  <c r="N14" i="1"/>
  <c r="O14" i="1"/>
  <c r="P14" i="1"/>
  <c r="Q14" i="1"/>
  <c r="R14" i="1"/>
  <c r="S14" i="1"/>
  <c r="H15" i="1"/>
  <c r="I15" i="1"/>
  <c r="J15" i="1"/>
  <c r="K15" i="1"/>
  <c r="L15" i="1"/>
  <c r="M15" i="1"/>
  <c r="N15" i="1"/>
  <c r="O15" i="1"/>
  <c r="P15" i="1"/>
  <c r="Q15" i="1"/>
  <c r="R15" i="1"/>
  <c r="S15" i="1"/>
  <c r="H16" i="1"/>
  <c r="I16" i="1"/>
  <c r="J16" i="1"/>
  <c r="K16" i="1"/>
  <c r="L16" i="1"/>
  <c r="M16" i="1"/>
  <c r="N16" i="1"/>
  <c r="O16" i="1"/>
  <c r="P16" i="1"/>
  <c r="Q16" i="1"/>
  <c r="R16" i="1"/>
  <c r="S16" i="1"/>
  <c r="H17" i="1"/>
  <c r="I17" i="1"/>
  <c r="J17" i="1"/>
  <c r="K17" i="1"/>
  <c r="L17" i="1"/>
  <c r="M17" i="1"/>
  <c r="N17" i="1"/>
  <c r="O17" i="1"/>
  <c r="P17" i="1"/>
  <c r="Q17" i="1"/>
  <c r="R17" i="1"/>
  <c r="S17" i="1"/>
  <c r="H18" i="1"/>
  <c r="I18" i="1"/>
  <c r="J18" i="1"/>
  <c r="K18" i="1"/>
  <c r="L18" i="1"/>
  <c r="M18" i="1"/>
  <c r="N18" i="1"/>
  <c r="O18" i="1"/>
  <c r="P18" i="1"/>
  <c r="Q18" i="1"/>
  <c r="R18" i="1"/>
  <c r="S18" i="1"/>
  <c r="H19" i="1"/>
  <c r="I19" i="1"/>
  <c r="J19" i="1"/>
  <c r="K19" i="1"/>
  <c r="L19" i="1"/>
  <c r="M19" i="1"/>
  <c r="N19" i="1"/>
  <c r="O19" i="1"/>
  <c r="P19" i="1"/>
  <c r="Q19" i="1"/>
  <c r="R19" i="1"/>
  <c r="S19" i="1"/>
  <c r="H20" i="1"/>
  <c r="I20" i="1"/>
  <c r="J20" i="1"/>
  <c r="K20" i="1"/>
  <c r="L20" i="1"/>
  <c r="M20" i="1"/>
  <c r="N20" i="1"/>
  <c r="O20" i="1"/>
  <c r="P20" i="1"/>
  <c r="Q20" i="1"/>
  <c r="R20" i="1"/>
  <c r="S20" i="1"/>
  <c r="H21" i="1"/>
  <c r="I21" i="1"/>
  <c r="J21" i="1"/>
  <c r="K21" i="1"/>
  <c r="L21" i="1"/>
  <c r="M21" i="1"/>
  <c r="N21" i="1"/>
  <c r="O21" i="1"/>
  <c r="P21" i="1"/>
  <c r="Q21" i="1"/>
  <c r="R21" i="1"/>
  <c r="S21" i="1"/>
  <c r="H22" i="1"/>
  <c r="I22" i="1"/>
  <c r="J22" i="1"/>
  <c r="K22" i="1"/>
  <c r="L22" i="1"/>
  <c r="M22" i="1"/>
  <c r="N22" i="1"/>
  <c r="O22" i="1"/>
  <c r="P22" i="1"/>
  <c r="Q22" i="1"/>
  <c r="R22" i="1"/>
  <c r="S22" i="1"/>
  <c r="H23" i="1"/>
  <c r="I23" i="1"/>
  <c r="J23" i="1"/>
  <c r="K23" i="1"/>
  <c r="L23" i="1"/>
  <c r="M23" i="1"/>
  <c r="N23" i="1"/>
  <c r="O23" i="1"/>
  <c r="P23" i="1"/>
  <c r="Q23" i="1"/>
  <c r="R23" i="1"/>
  <c r="S23" i="1"/>
  <c r="H24" i="1"/>
  <c r="I24" i="1"/>
  <c r="J24" i="1"/>
  <c r="K24" i="1"/>
  <c r="L24" i="1"/>
  <c r="M24" i="1"/>
  <c r="N24" i="1"/>
  <c r="O24" i="1"/>
  <c r="P24" i="1"/>
  <c r="Q24" i="1"/>
  <c r="R24" i="1"/>
  <c r="S24" i="1"/>
  <c r="H25" i="1"/>
  <c r="I25" i="1"/>
  <c r="J25" i="1"/>
  <c r="K25" i="1"/>
  <c r="L25" i="1"/>
  <c r="M25" i="1"/>
  <c r="N25" i="1"/>
  <c r="O25" i="1"/>
  <c r="P25" i="1"/>
  <c r="Q25" i="1"/>
  <c r="R25" i="1"/>
  <c r="S25" i="1"/>
  <c r="H26" i="1"/>
  <c r="I26" i="1"/>
  <c r="J26" i="1"/>
  <c r="K26" i="1"/>
  <c r="L26" i="1"/>
  <c r="M26" i="1"/>
  <c r="N26" i="1"/>
  <c r="O26" i="1"/>
  <c r="P26" i="1"/>
  <c r="Q26" i="1"/>
  <c r="R26" i="1"/>
  <c r="S26" i="1"/>
  <c r="H27" i="1"/>
  <c r="I27" i="1"/>
  <c r="J27" i="1"/>
  <c r="K27" i="1"/>
  <c r="L27" i="1"/>
  <c r="M27" i="1"/>
  <c r="N27" i="1"/>
  <c r="O27" i="1"/>
  <c r="P27" i="1"/>
  <c r="Q27" i="1"/>
  <c r="R27" i="1"/>
  <c r="S27" i="1"/>
  <c r="H28" i="1"/>
  <c r="I28" i="1"/>
  <c r="J28" i="1"/>
  <c r="K28" i="1"/>
  <c r="L28" i="1"/>
  <c r="M28" i="1"/>
  <c r="N28" i="1"/>
  <c r="O28" i="1"/>
  <c r="P28" i="1"/>
  <c r="Q28" i="1"/>
  <c r="R28" i="1"/>
  <c r="S28" i="1"/>
  <c r="H29" i="1"/>
  <c r="I29" i="1"/>
  <c r="J29" i="1"/>
  <c r="K29" i="1"/>
  <c r="L29" i="1"/>
  <c r="M29" i="1"/>
  <c r="N29" i="1"/>
  <c r="O29" i="1"/>
  <c r="P29" i="1"/>
  <c r="Q29" i="1"/>
  <c r="R29" i="1"/>
  <c r="S29" i="1"/>
  <c r="H30" i="1"/>
  <c r="I30" i="1"/>
  <c r="J30" i="1"/>
  <c r="K30" i="1"/>
  <c r="L30" i="1"/>
  <c r="M30" i="1"/>
  <c r="N30" i="1"/>
  <c r="O30" i="1"/>
  <c r="P30" i="1"/>
  <c r="Q30" i="1"/>
  <c r="R30" i="1"/>
  <c r="S30" i="1"/>
  <c r="H31" i="1"/>
  <c r="I31" i="1"/>
  <c r="J31" i="1"/>
  <c r="K31" i="1"/>
  <c r="L31" i="1"/>
  <c r="M31" i="1"/>
  <c r="N31" i="1"/>
  <c r="O31" i="1"/>
  <c r="P31" i="1"/>
  <c r="Q31" i="1"/>
  <c r="R31" i="1"/>
  <c r="S31" i="1"/>
  <c r="H32" i="1"/>
  <c r="I32" i="1"/>
  <c r="J32" i="1"/>
  <c r="K32" i="1"/>
  <c r="L32" i="1"/>
  <c r="M32" i="1"/>
  <c r="N32" i="1"/>
  <c r="O32" i="1"/>
  <c r="P32" i="1"/>
  <c r="Q32" i="1"/>
  <c r="R32" i="1"/>
  <c r="S32" i="1"/>
  <c r="H33" i="1"/>
  <c r="I33" i="1"/>
  <c r="J33" i="1"/>
  <c r="K33" i="1"/>
  <c r="L33" i="1"/>
  <c r="M33" i="1"/>
  <c r="N33" i="1"/>
  <c r="O33" i="1"/>
  <c r="P33" i="1"/>
  <c r="Q33" i="1"/>
  <c r="R33" i="1"/>
  <c r="S33" i="1"/>
  <c r="H34" i="1"/>
  <c r="I34" i="1"/>
  <c r="J34" i="1"/>
  <c r="K34" i="1"/>
  <c r="L34" i="1"/>
  <c r="M34" i="1"/>
  <c r="N34" i="1"/>
  <c r="O34" i="1"/>
  <c r="P34" i="1"/>
  <c r="Q34" i="1"/>
  <c r="R34" i="1"/>
  <c r="S34" i="1"/>
  <c r="H35" i="1"/>
  <c r="I35" i="1"/>
  <c r="J35" i="1"/>
  <c r="K35" i="1"/>
  <c r="L35" i="1"/>
  <c r="M35" i="1"/>
  <c r="N35" i="1"/>
  <c r="O35" i="1"/>
  <c r="P35" i="1"/>
  <c r="Q35" i="1"/>
  <c r="R35" i="1"/>
  <c r="S35" i="1"/>
  <c r="H36" i="1"/>
  <c r="I36" i="1"/>
  <c r="J36" i="1"/>
  <c r="K36" i="1"/>
  <c r="L36" i="1"/>
  <c r="M36" i="1"/>
  <c r="N36" i="1"/>
  <c r="O36" i="1"/>
  <c r="P36" i="1"/>
  <c r="Q36" i="1"/>
  <c r="R36" i="1"/>
  <c r="S36" i="1"/>
  <c r="H37" i="1"/>
  <c r="I37" i="1"/>
  <c r="J37" i="1"/>
  <c r="K37" i="1"/>
  <c r="L37" i="1"/>
  <c r="M37" i="1"/>
  <c r="N37" i="1"/>
  <c r="O37" i="1"/>
  <c r="P37" i="1"/>
  <c r="Q37" i="1"/>
  <c r="R37" i="1"/>
  <c r="S37" i="1"/>
  <c r="H38" i="1"/>
  <c r="I38" i="1"/>
  <c r="J38" i="1"/>
  <c r="K38" i="1"/>
  <c r="L38" i="1"/>
  <c r="M38" i="1"/>
  <c r="N38" i="1"/>
  <c r="O38" i="1"/>
  <c r="P38" i="1"/>
  <c r="Q38" i="1"/>
  <c r="R38" i="1"/>
  <c r="S38" i="1"/>
  <c r="H39" i="1"/>
  <c r="I39" i="1"/>
  <c r="J39" i="1"/>
  <c r="K39" i="1"/>
  <c r="L39" i="1"/>
  <c r="M39" i="1"/>
  <c r="N39" i="1"/>
  <c r="O39" i="1"/>
  <c r="P39" i="1"/>
  <c r="Q39" i="1"/>
  <c r="R39" i="1"/>
  <c r="S39" i="1"/>
  <c r="H40" i="1"/>
  <c r="I40" i="1"/>
  <c r="J40" i="1"/>
  <c r="K40" i="1"/>
  <c r="L40" i="1"/>
  <c r="M40" i="1"/>
  <c r="N40" i="1"/>
  <c r="O40" i="1"/>
  <c r="P40" i="1"/>
  <c r="Q40" i="1"/>
  <c r="R40" i="1"/>
  <c r="S40" i="1"/>
  <c r="H41" i="1"/>
  <c r="I41" i="1"/>
  <c r="J41" i="1"/>
  <c r="K41" i="1"/>
  <c r="L41" i="1"/>
  <c r="M41" i="1"/>
  <c r="N41" i="1"/>
  <c r="O41" i="1"/>
  <c r="P41" i="1"/>
  <c r="Q41" i="1"/>
  <c r="R41" i="1"/>
  <c r="S41" i="1"/>
  <c r="H42" i="1"/>
  <c r="I42" i="1"/>
  <c r="J42" i="1"/>
  <c r="K42" i="1"/>
  <c r="L42" i="1"/>
  <c r="M42" i="1"/>
  <c r="N42" i="1"/>
  <c r="O42" i="1"/>
  <c r="P42" i="1"/>
  <c r="Q42" i="1"/>
  <c r="R42" i="1"/>
  <c r="S42" i="1"/>
  <c r="H43" i="1"/>
  <c r="I43" i="1"/>
  <c r="J43" i="1"/>
  <c r="K43" i="1"/>
  <c r="L43" i="1"/>
  <c r="M43" i="1"/>
  <c r="N43" i="1"/>
  <c r="O43" i="1"/>
  <c r="P43" i="1"/>
  <c r="Q43" i="1"/>
  <c r="R43" i="1"/>
  <c r="S43" i="1"/>
  <c r="H44" i="1"/>
  <c r="I44" i="1"/>
  <c r="J44" i="1"/>
  <c r="K44" i="1"/>
  <c r="L44" i="1"/>
  <c r="M44" i="1"/>
  <c r="N44" i="1"/>
  <c r="O44" i="1"/>
  <c r="P44" i="1"/>
  <c r="Q44" i="1"/>
  <c r="R44" i="1"/>
  <c r="S44" i="1"/>
  <c r="H45" i="1"/>
  <c r="I45" i="1"/>
  <c r="J45" i="1"/>
  <c r="K45" i="1"/>
  <c r="L45" i="1"/>
  <c r="M45" i="1"/>
  <c r="N45" i="1"/>
  <c r="O45" i="1"/>
  <c r="P45" i="1"/>
  <c r="Q45" i="1"/>
  <c r="R45" i="1"/>
  <c r="S45" i="1"/>
  <c r="H46" i="1"/>
  <c r="I46" i="1"/>
  <c r="J46" i="1"/>
  <c r="K46" i="1"/>
  <c r="L46" i="1"/>
  <c r="M46" i="1"/>
  <c r="N46" i="1"/>
  <c r="O46" i="1"/>
  <c r="P46" i="1"/>
  <c r="Q46" i="1"/>
  <c r="R46" i="1"/>
  <c r="S46" i="1"/>
  <c r="H47" i="1"/>
  <c r="I47" i="1"/>
  <c r="J47" i="1"/>
  <c r="K47" i="1"/>
  <c r="L47" i="1"/>
  <c r="M47" i="1"/>
  <c r="N47" i="1"/>
  <c r="O47" i="1"/>
  <c r="P47" i="1"/>
  <c r="Q47" i="1"/>
  <c r="R47" i="1"/>
  <c r="S47" i="1"/>
  <c r="H48" i="1"/>
  <c r="I48" i="1"/>
  <c r="J48" i="1"/>
  <c r="K48" i="1"/>
  <c r="L48" i="1"/>
  <c r="M48" i="1"/>
  <c r="N48" i="1"/>
  <c r="O48" i="1"/>
  <c r="P48" i="1"/>
  <c r="Q48" i="1"/>
  <c r="R48" i="1"/>
  <c r="S48" i="1"/>
  <c r="H49" i="1"/>
  <c r="I49" i="1"/>
  <c r="J49" i="1"/>
  <c r="K49" i="1"/>
  <c r="L49" i="1"/>
  <c r="M49" i="1"/>
  <c r="N49" i="1"/>
  <c r="O49" i="1"/>
  <c r="P49" i="1"/>
  <c r="Q49" i="1"/>
  <c r="R49" i="1"/>
  <c r="S49" i="1"/>
  <c r="H50" i="1"/>
  <c r="I50" i="1"/>
  <c r="J50" i="1"/>
  <c r="K50" i="1"/>
  <c r="L50" i="1"/>
  <c r="M50" i="1"/>
  <c r="N50" i="1"/>
  <c r="O50" i="1"/>
  <c r="P50" i="1"/>
  <c r="Q50" i="1"/>
  <c r="R50" i="1"/>
  <c r="S50" i="1"/>
  <c r="H51" i="1"/>
  <c r="I51" i="1"/>
  <c r="J51" i="1"/>
  <c r="K51" i="1"/>
  <c r="L51" i="1"/>
  <c r="M51" i="1"/>
  <c r="N51" i="1"/>
  <c r="O51" i="1"/>
  <c r="P51" i="1"/>
  <c r="Q51" i="1"/>
  <c r="R51" i="1"/>
  <c r="S51" i="1"/>
  <c r="H52" i="1"/>
  <c r="I52" i="1"/>
  <c r="J52" i="1"/>
  <c r="K52" i="1"/>
  <c r="L52" i="1"/>
  <c r="M52" i="1"/>
  <c r="N52" i="1"/>
  <c r="O52" i="1"/>
  <c r="P52" i="1"/>
  <c r="Q52" i="1"/>
  <c r="AB52" i="1" s="1"/>
  <c r="R52" i="1"/>
  <c r="S52" i="1"/>
  <c r="H53" i="1"/>
  <c r="I53" i="1"/>
  <c r="J53" i="1"/>
  <c r="K53" i="1"/>
  <c r="L53" i="1"/>
  <c r="M53" i="1"/>
  <c r="N53" i="1"/>
  <c r="O53" i="1"/>
  <c r="P53" i="1"/>
  <c r="Q53" i="1"/>
  <c r="AB53" i="1" s="1"/>
  <c r="R53" i="1"/>
  <c r="S53" i="1"/>
  <c r="H54" i="1"/>
  <c r="I54" i="1"/>
  <c r="J54" i="1"/>
  <c r="K54" i="1"/>
  <c r="L54" i="1"/>
  <c r="M54" i="1"/>
  <c r="N54" i="1"/>
  <c r="O54" i="1"/>
  <c r="P54" i="1"/>
  <c r="Q54" i="1"/>
  <c r="AB54" i="1" s="1"/>
  <c r="R54" i="1"/>
  <c r="S54" i="1"/>
  <c r="H55" i="1"/>
  <c r="I55" i="1"/>
  <c r="J55" i="1"/>
  <c r="K55" i="1"/>
  <c r="L55" i="1"/>
  <c r="M55" i="1"/>
  <c r="N55" i="1"/>
  <c r="O55" i="1"/>
  <c r="P55" i="1"/>
  <c r="Q55" i="1"/>
  <c r="AB55" i="1" s="1"/>
  <c r="R55" i="1"/>
  <c r="S55" i="1"/>
  <c r="H56" i="1"/>
  <c r="I56" i="1"/>
  <c r="J56" i="1"/>
  <c r="K56" i="1"/>
  <c r="L56" i="1"/>
  <c r="M56" i="1"/>
  <c r="N56" i="1"/>
  <c r="O56" i="1"/>
  <c r="P56" i="1"/>
  <c r="Q56" i="1"/>
  <c r="AB56" i="1" s="1"/>
  <c r="R56" i="1"/>
  <c r="S56" i="1"/>
  <c r="H57" i="1"/>
  <c r="I57" i="1"/>
  <c r="J57" i="1"/>
  <c r="K57" i="1"/>
  <c r="L57" i="1"/>
  <c r="M57" i="1"/>
  <c r="N57" i="1"/>
  <c r="O57" i="1"/>
  <c r="P57" i="1"/>
  <c r="Q57" i="1"/>
  <c r="AB57" i="1" s="1"/>
  <c r="R57" i="1"/>
  <c r="S57" i="1"/>
  <c r="H58" i="1"/>
  <c r="I58" i="1"/>
  <c r="J58" i="1"/>
  <c r="K58" i="1"/>
  <c r="L58" i="1"/>
  <c r="M58" i="1"/>
  <c r="N58" i="1"/>
  <c r="O58" i="1"/>
  <c r="P58" i="1"/>
  <c r="Q58" i="1"/>
  <c r="AB58" i="1" s="1"/>
  <c r="R58" i="1"/>
  <c r="S58" i="1"/>
  <c r="H59" i="1"/>
  <c r="I59" i="1"/>
  <c r="J59" i="1"/>
  <c r="K59" i="1"/>
  <c r="L59" i="1"/>
  <c r="M59" i="1"/>
  <c r="N59" i="1"/>
  <c r="O59" i="1"/>
  <c r="P59" i="1"/>
  <c r="Q59" i="1"/>
  <c r="AB59" i="1" s="1"/>
  <c r="R59" i="1"/>
  <c r="S59" i="1"/>
  <c r="H61" i="1"/>
  <c r="I61" i="1"/>
  <c r="J61" i="1"/>
  <c r="K61" i="1"/>
  <c r="L61" i="1"/>
  <c r="M61" i="1"/>
  <c r="N61" i="1"/>
  <c r="O61" i="1"/>
  <c r="P61" i="1"/>
  <c r="Q61" i="1"/>
  <c r="AB61" i="1" s="1"/>
  <c r="R61" i="1"/>
  <c r="S61" i="1"/>
  <c r="H62" i="1"/>
  <c r="I62" i="1"/>
  <c r="J62" i="1"/>
  <c r="K62" i="1"/>
  <c r="L62" i="1"/>
  <c r="M62" i="1"/>
  <c r="N62" i="1"/>
  <c r="O62" i="1"/>
  <c r="P62" i="1"/>
  <c r="Q62" i="1"/>
  <c r="AB62" i="1" s="1"/>
  <c r="R62" i="1"/>
  <c r="S62" i="1"/>
  <c r="H63" i="1"/>
  <c r="I63" i="1"/>
  <c r="J63" i="1"/>
  <c r="K63" i="1"/>
  <c r="L63" i="1"/>
  <c r="M63" i="1"/>
  <c r="N63" i="1"/>
  <c r="O63" i="1"/>
  <c r="P63" i="1"/>
  <c r="Q63" i="1"/>
  <c r="AB63" i="1" s="1"/>
  <c r="R63" i="1"/>
  <c r="S63" i="1"/>
  <c r="H64" i="1"/>
  <c r="I64" i="1"/>
  <c r="J64" i="1"/>
  <c r="K64" i="1"/>
  <c r="L64" i="1"/>
  <c r="M64" i="1"/>
  <c r="N64" i="1"/>
  <c r="O64" i="1"/>
  <c r="P64" i="1"/>
  <c r="Q64" i="1"/>
  <c r="AB64" i="1" s="1"/>
  <c r="R64" i="1"/>
  <c r="S64" i="1"/>
  <c r="H65" i="1"/>
  <c r="I65" i="1"/>
  <c r="J65" i="1"/>
  <c r="K65" i="1"/>
  <c r="L65" i="1"/>
  <c r="M65" i="1"/>
  <c r="N65" i="1"/>
  <c r="O65" i="1"/>
  <c r="P65" i="1"/>
  <c r="Q65" i="1"/>
  <c r="AB65" i="1" s="1"/>
  <c r="R65" i="1"/>
  <c r="S65" i="1"/>
  <c r="H66" i="1"/>
  <c r="I66" i="1"/>
  <c r="J66" i="1"/>
  <c r="K66" i="1"/>
  <c r="L66" i="1"/>
  <c r="M66" i="1"/>
  <c r="N66" i="1"/>
  <c r="O66" i="1"/>
  <c r="P66" i="1"/>
  <c r="Q66" i="1"/>
  <c r="AB66" i="1" s="1"/>
  <c r="R66" i="1"/>
  <c r="S66" i="1"/>
  <c r="H67" i="1"/>
  <c r="I67" i="1"/>
  <c r="J67" i="1"/>
  <c r="K67" i="1"/>
  <c r="L67" i="1"/>
  <c r="M67" i="1"/>
  <c r="N67" i="1"/>
  <c r="O67" i="1"/>
  <c r="P67" i="1"/>
  <c r="Q67" i="1"/>
  <c r="AB67" i="1" s="1"/>
  <c r="R67" i="1"/>
  <c r="S67" i="1"/>
  <c r="H68" i="1"/>
  <c r="I68" i="1"/>
  <c r="J68" i="1"/>
  <c r="K68" i="1"/>
  <c r="L68" i="1"/>
  <c r="M68" i="1"/>
  <c r="N68" i="1"/>
  <c r="O68" i="1"/>
  <c r="P68" i="1"/>
  <c r="Q68" i="1"/>
  <c r="AB68" i="1" s="1"/>
  <c r="R68" i="1"/>
  <c r="S68" i="1"/>
  <c r="H69" i="1"/>
  <c r="I69" i="1"/>
  <c r="J69" i="1"/>
  <c r="K69" i="1"/>
  <c r="L69" i="1"/>
  <c r="M69" i="1"/>
  <c r="N69" i="1"/>
  <c r="O69" i="1"/>
  <c r="P69" i="1"/>
  <c r="Q69" i="1"/>
  <c r="AB69" i="1" s="1"/>
  <c r="R69" i="1"/>
  <c r="S69" i="1"/>
  <c r="H60" i="1"/>
  <c r="I60" i="1"/>
  <c r="J60" i="1"/>
  <c r="K60" i="1"/>
  <c r="L60" i="1"/>
  <c r="M60" i="1"/>
  <c r="N60" i="1"/>
  <c r="O60" i="1"/>
  <c r="P60" i="1"/>
  <c r="Q60" i="1"/>
  <c r="AB60" i="1" s="1"/>
  <c r="R60" i="1"/>
  <c r="S60" i="1"/>
  <c r="H70" i="1"/>
  <c r="I70" i="1"/>
  <c r="J70" i="1"/>
  <c r="K70" i="1"/>
  <c r="L70" i="1"/>
  <c r="M70" i="1"/>
  <c r="N70" i="1"/>
  <c r="O70" i="1"/>
  <c r="P70" i="1"/>
  <c r="Q70" i="1"/>
  <c r="AB70" i="1" s="1"/>
  <c r="R70" i="1"/>
  <c r="S70" i="1"/>
  <c r="H71" i="1"/>
  <c r="I71" i="1"/>
  <c r="J71" i="1"/>
  <c r="K71" i="1"/>
  <c r="L71" i="1"/>
  <c r="M71" i="1"/>
  <c r="N71" i="1"/>
  <c r="O71" i="1"/>
  <c r="P71" i="1"/>
  <c r="Q71" i="1"/>
  <c r="AB71" i="1" s="1"/>
  <c r="R71" i="1"/>
  <c r="S71" i="1"/>
  <c r="H72" i="1"/>
  <c r="I72" i="1"/>
  <c r="J72" i="1"/>
  <c r="K72" i="1"/>
  <c r="L72" i="1"/>
  <c r="M72" i="1"/>
  <c r="N72" i="1"/>
  <c r="O72" i="1"/>
  <c r="P72" i="1"/>
  <c r="Q72" i="1"/>
  <c r="AB72" i="1" s="1"/>
  <c r="R72" i="1"/>
  <c r="S72" i="1"/>
  <c r="H73" i="1"/>
  <c r="I73" i="1"/>
  <c r="J73" i="1"/>
  <c r="K73" i="1"/>
  <c r="L73" i="1"/>
  <c r="M73" i="1"/>
  <c r="N73" i="1"/>
  <c r="O73" i="1"/>
  <c r="P73" i="1"/>
  <c r="Q73" i="1"/>
  <c r="AB73" i="1" s="1"/>
  <c r="R73" i="1"/>
  <c r="S73" i="1"/>
  <c r="H74" i="1"/>
  <c r="I74" i="1"/>
  <c r="J74" i="1"/>
  <c r="K74" i="1"/>
  <c r="L74" i="1"/>
  <c r="M74" i="1"/>
  <c r="N74" i="1"/>
  <c r="O74" i="1"/>
  <c r="P74" i="1"/>
  <c r="Q74" i="1"/>
  <c r="AB74" i="1" s="1"/>
  <c r="R74" i="1"/>
  <c r="S74" i="1"/>
  <c r="H75" i="1"/>
  <c r="I75" i="1"/>
  <c r="J75" i="1"/>
  <c r="K75" i="1"/>
  <c r="L75" i="1"/>
  <c r="M75" i="1"/>
  <c r="N75" i="1"/>
  <c r="O75" i="1"/>
  <c r="P75" i="1"/>
  <c r="Q75" i="1"/>
  <c r="AB75" i="1" s="1"/>
  <c r="R75" i="1"/>
  <c r="S75" i="1"/>
  <c r="H76" i="1"/>
  <c r="I76" i="1"/>
  <c r="J76" i="1"/>
  <c r="K76" i="1"/>
  <c r="L76" i="1"/>
  <c r="M76" i="1"/>
  <c r="N76" i="1"/>
  <c r="O76" i="1"/>
  <c r="P76" i="1"/>
  <c r="Q76" i="1"/>
  <c r="AB76" i="1" s="1"/>
  <c r="R76" i="1"/>
  <c r="S76" i="1"/>
  <c r="H77" i="1"/>
  <c r="I77" i="1"/>
  <c r="J77" i="1"/>
  <c r="K77" i="1"/>
  <c r="L77" i="1"/>
  <c r="M77" i="1"/>
  <c r="N77" i="1"/>
  <c r="O77" i="1"/>
  <c r="P77" i="1"/>
  <c r="Q77" i="1"/>
  <c r="AB77" i="1" s="1"/>
  <c r="R77" i="1"/>
  <c r="S77" i="1"/>
  <c r="H78" i="1"/>
  <c r="I78" i="1"/>
  <c r="J78" i="1"/>
  <c r="K78" i="1"/>
  <c r="L78" i="1"/>
  <c r="M78" i="1"/>
  <c r="N78" i="1"/>
  <c r="O78" i="1"/>
  <c r="P78" i="1"/>
  <c r="Q78" i="1"/>
  <c r="AB78" i="1" s="1"/>
  <c r="R78" i="1"/>
  <c r="S78" i="1"/>
  <c r="H83" i="1"/>
  <c r="I83" i="1"/>
  <c r="J83" i="1"/>
  <c r="K83" i="1"/>
  <c r="L83" i="1"/>
  <c r="M83" i="1"/>
  <c r="N83" i="1"/>
  <c r="O83" i="1"/>
  <c r="P83" i="1"/>
  <c r="Q83" i="1"/>
  <c r="AB83" i="1" s="1"/>
  <c r="R83" i="1"/>
  <c r="S83" i="1"/>
  <c r="H80" i="1"/>
  <c r="I80" i="1"/>
  <c r="J80" i="1"/>
  <c r="K80" i="1"/>
  <c r="L80" i="1"/>
  <c r="M80" i="1"/>
  <c r="N80" i="1"/>
  <c r="O80" i="1"/>
  <c r="P80" i="1"/>
  <c r="Q80" i="1"/>
  <c r="AB80" i="1" s="1"/>
  <c r="R80" i="1"/>
  <c r="S80" i="1"/>
  <c r="H82" i="1"/>
  <c r="I82" i="1"/>
  <c r="J82" i="1"/>
  <c r="K82" i="1"/>
  <c r="L82" i="1"/>
  <c r="M82" i="1"/>
  <c r="N82" i="1"/>
  <c r="O82" i="1"/>
  <c r="P82" i="1"/>
  <c r="Q82" i="1"/>
  <c r="AB82" i="1" s="1"/>
  <c r="R82" i="1"/>
  <c r="S82" i="1"/>
  <c r="H84" i="1"/>
  <c r="I84" i="1"/>
  <c r="J84" i="1"/>
  <c r="K84" i="1"/>
  <c r="L84" i="1"/>
  <c r="M84" i="1"/>
  <c r="N84" i="1"/>
  <c r="O84" i="1"/>
  <c r="P84" i="1"/>
  <c r="Q84" i="1"/>
  <c r="AB84" i="1" s="1"/>
  <c r="R84" i="1"/>
  <c r="S84" i="1"/>
  <c r="H79" i="1"/>
  <c r="I79" i="1"/>
  <c r="J79" i="1"/>
  <c r="K79" i="1"/>
  <c r="L79" i="1"/>
  <c r="M79" i="1"/>
  <c r="N79" i="1"/>
  <c r="O79" i="1"/>
  <c r="P79" i="1"/>
  <c r="Q79" i="1"/>
  <c r="AB79" i="1" s="1"/>
  <c r="R79" i="1"/>
  <c r="S79" i="1"/>
  <c r="H81" i="1"/>
  <c r="I81" i="1"/>
  <c r="J81" i="1"/>
  <c r="K81" i="1"/>
  <c r="L81" i="1"/>
  <c r="M81" i="1"/>
  <c r="N81" i="1"/>
  <c r="O81" i="1"/>
  <c r="P81" i="1"/>
  <c r="Q81" i="1"/>
  <c r="AB81" i="1" s="1"/>
  <c r="R81" i="1"/>
  <c r="S81" i="1"/>
  <c r="H85" i="1"/>
  <c r="I85" i="1"/>
  <c r="J85" i="1"/>
  <c r="K85" i="1"/>
  <c r="L85" i="1"/>
  <c r="M85" i="1"/>
  <c r="N85" i="1"/>
  <c r="O85" i="1"/>
  <c r="P85" i="1"/>
  <c r="Q85" i="1"/>
  <c r="AB85" i="1" s="1"/>
  <c r="R85" i="1"/>
  <c r="S85" i="1"/>
  <c r="H93" i="1"/>
  <c r="I93" i="1"/>
  <c r="J93" i="1"/>
  <c r="K93" i="1"/>
  <c r="L93" i="1"/>
  <c r="M93" i="1"/>
  <c r="N93" i="1"/>
  <c r="O93" i="1"/>
  <c r="P93" i="1"/>
  <c r="Q93" i="1"/>
  <c r="AB93" i="1" s="1"/>
  <c r="R93" i="1"/>
  <c r="S93" i="1"/>
  <c r="H86" i="1"/>
  <c r="I86" i="1"/>
  <c r="J86" i="1"/>
  <c r="K86" i="1"/>
  <c r="L86" i="1"/>
  <c r="M86" i="1"/>
  <c r="N86" i="1"/>
  <c r="O86" i="1"/>
  <c r="P86" i="1"/>
  <c r="Q86" i="1"/>
  <c r="AB86" i="1" s="1"/>
  <c r="R86" i="1"/>
  <c r="S86" i="1"/>
  <c r="H87" i="1"/>
  <c r="I87" i="1"/>
  <c r="J87" i="1"/>
  <c r="K87" i="1"/>
  <c r="L87" i="1"/>
  <c r="M87" i="1"/>
  <c r="N87" i="1"/>
  <c r="O87" i="1"/>
  <c r="P87" i="1"/>
  <c r="Q87" i="1"/>
  <c r="AB87" i="1" s="1"/>
  <c r="R87" i="1"/>
  <c r="S87" i="1"/>
  <c r="H88" i="1"/>
  <c r="I88" i="1"/>
  <c r="J88" i="1"/>
  <c r="K88" i="1"/>
  <c r="L88" i="1"/>
  <c r="M88" i="1"/>
  <c r="N88" i="1"/>
  <c r="O88" i="1"/>
  <c r="P88" i="1"/>
  <c r="Q88" i="1"/>
  <c r="AB88" i="1" s="1"/>
  <c r="R88" i="1"/>
  <c r="S88" i="1"/>
  <c r="H94" i="1"/>
  <c r="I94" i="1"/>
  <c r="J94" i="1"/>
  <c r="K94" i="1"/>
  <c r="L94" i="1"/>
  <c r="M94" i="1"/>
  <c r="N94" i="1"/>
  <c r="O94" i="1"/>
  <c r="P94" i="1"/>
  <c r="Q94" i="1"/>
  <c r="AB94" i="1" s="1"/>
  <c r="R94" i="1"/>
  <c r="S94" i="1"/>
  <c r="H89" i="1"/>
  <c r="I89" i="1"/>
  <c r="AI91" i="1" s="1"/>
  <c r="J89" i="1"/>
  <c r="K89" i="1"/>
  <c r="L89" i="1"/>
  <c r="M89" i="1"/>
  <c r="N89" i="1"/>
  <c r="O89" i="1"/>
  <c r="P89" i="1"/>
  <c r="Q89" i="1"/>
  <c r="AB89" i="1" s="1"/>
  <c r="R89" i="1"/>
  <c r="S89" i="1"/>
  <c r="H90" i="1"/>
  <c r="I90" i="1"/>
  <c r="J90" i="1"/>
  <c r="K90" i="1"/>
  <c r="L90" i="1"/>
  <c r="M90" i="1"/>
  <c r="N90" i="1"/>
  <c r="O90" i="1"/>
  <c r="P90" i="1"/>
  <c r="Q90" i="1"/>
  <c r="AB90" i="1" s="1"/>
  <c r="R90" i="1"/>
  <c r="S90" i="1"/>
  <c r="C92" i="1" l="1"/>
  <c r="C91" i="1"/>
  <c r="C94" i="1"/>
  <c r="C93" i="1"/>
  <c r="AI94" i="1"/>
  <c r="AI93" i="1"/>
  <c r="C88" i="1"/>
  <c r="C87" i="1"/>
  <c r="C86" i="1"/>
  <c r="AG94" i="1"/>
  <c r="AG93" i="1"/>
  <c r="AG87" i="1"/>
  <c r="AI90" i="1"/>
  <c r="AG88" i="1"/>
  <c r="AI86" i="1"/>
  <c r="C90" i="1"/>
  <c r="AG90" i="1"/>
  <c r="AI87" i="1"/>
  <c r="AI92" i="1"/>
  <c r="AG92" i="1"/>
  <c r="AG91" i="1"/>
  <c r="AK91" i="1" s="1"/>
  <c r="AI88" i="1"/>
  <c r="AG86" i="1"/>
  <c r="C14" i="1"/>
  <c r="C10" i="1"/>
  <c r="C4" i="1"/>
  <c r="AK94" i="1" l="1"/>
  <c r="AK92" i="1"/>
  <c r="AK90" i="1"/>
  <c r="AK93" i="1"/>
  <c r="AK88" i="1"/>
  <c r="AK87" i="1"/>
  <c r="AK86" i="1"/>
  <c r="C7" i="1"/>
  <c r="C9" i="1"/>
  <c r="C11" i="1"/>
  <c r="C15" i="1"/>
  <c r="C20" i="1"/>
  <c r="C21" i="1"/>
  <c r="C22" i="1"/>
  <c r="C23" i="1"/>
  <c r="C24" i="1"/>
  <c r="C26" i="1"/>
  <c r="C27" i="1"/>
  <c r="C28" i="1"/>
  <c r="C30" i="1"/>
  <c r="C31" i="1"/>
  <c r="C37" i="1"/>
  <c r="C39" i="1"/>
  <c r="C42" i="1"/>
  <c r="C45" i="1"/>
  <c r="C46" i="1"/>
  <c r="C47" i="1"/>
  <c r="C48" i="1"/>
  <c r="C50" i="1"/>
  <c r="C54" i="1"/>
  <c r="C55" i="1"/>
  <c r="C56" i="1"/>
  <c r="C57" i="1"/>
  <c r="C58" i="1"/>
  <c r="C59" i="1"/>
  <c r="C61" i="1"/>
  <c r="C62" i="1"/>
  <c r="C63" i="1"/>
  <c r="C64" i="1"/>
  <c r="C65" i="1"/>
  <c r="C68" i="1"/>
  <c r="C69" i="1"/>
  <c r="C72" i="1"/>
  <c r="C74" i="1"/>
  <c r="C76" i="1"/>
  <c r="C79" i="1"/>
  <c r="C80" i="1"/>
  <c r="C81" i="1"/>
  <c r="C82" i="1"/>
  <c r="C83" i="1"/>
  <c r="C85" i="1"/>
  <c r="C84" i="1"/>
  <c r="C70" i="1"/>
  <c r="C44" i="1"/>
  <c r="C71" i="1"/>
  <c r="C5" i="1"/>
  <c r="C73" i="1"/>
  <c r="C77" i="1"/>
  <c r="C29" i="1"/>
  <c r="C34" i="1"/>
  <c r="C51" i="1"/>
  <c r="C38" i="1"/>
  <c r="C66" i="1"/>
  <c r="C52" i="1"/>
  <c r="C53" i="1"/>
  <c r="C19" i="1"/>
  <c r="C13" i="1"/>
  <c r="C17" i="1"/>
  <c r="C32" i="1"/>
  <c r="C12" i="1"/>
  <c r="C43" i="1"/>
  <c r="C60" i="1"/>
  <c r="C41" i="1"/>
  <c r="C6" i="1"/>
  <c r="C78" i="1"/>
  <c r="C18" i="1"/>
  <c r="C49" i="1"/>
  <c r="C35" i="1"/>
  <c r="C8" i="1"/>
  <c r="C36" i="1"/>
  <c r="C33" i="1"/>
  <c r="C75" i="1"/>
  <c r="C40" i="1"/>
  <c r="C16" i="1"/>
  <c r="C25" i="1"/>
  <c r="AI4" i="1"/>
  <c r="AG4" i="1"/>
  <c r="AI7" i="1"/>
  <c r="AG7" i="1"/>
  <c r="AI9" i="1"/>
  <c r="AG9" i="1"/>
  <c r="AI10" i="1"/>
  <c r="AG10" i="1"/>
  <c r="AI11" i="1"/>
  <c r="AG11" i="1"/>
  <c r="AG14" i="1"/>
  <c r="AI14" i="1"/>
  <c r="AG15" i="1"/>
  <c r="AI15" i="1"/>
  <c r="AG20" i="1"/>
  <c r="AI20" i="1"/>
  <c r="AG21" i="1"/>
  <c r="AI21" i="1"/>
  <c r="AI22" i="1"/>
  <c r="AG22" i="1"/>
  <c r="AI23" i="1"/>
  <c r="AG23" i="1"/>
  <c r="AI24" i="1"/>
  <c r="AG24" i="1"/>
  <c r="AI26" i="1"/>
  <c r="AG26" i="1"/>
  <c r="AG27" i="1"/>
  <c r="AI27" i="1"/>
  <c r="AG28" i="1"/>
  <c r="AI28" i="1"/>
  <c r="AG29" i="1"/>
  <c r="AI29" i="1"/>
  <c r="AI30" i="1"/>
  <c r="AG30" i="1"/>
  <c r="AI31" i="1"/>
  <c r="AG31" i="1"/>
  <c r="AI34" i="1"/>
  <c r="AG34" i="1"/>
  <c r="AG37" i="1"/>
  <c r="AI37" i="1"/>
  <c r="AI39" i="1"/>
  <c r="AG39" i="1"/>
  <c r="AI42" i="1"/>
  <c r="AG42" i="1"/>
  <c r="AI45" i="1"/>
  <c r="AG45" i="1"/>
  <c r="AG46" i="1"/>
  <c r="AI46" i="1"/>
  <c r="AI47" i="1"/>
  <c r="AG47" i="1"/>
  <c r="AI48" i="1"/>
  <c r="AG48" i="1"/>
  <c r="AG50" i="1"/>
  <c r="AI50" i="1"/>
  <c r="AG51" i="1"/>
  <c r="AI51" i="1"/>
  <c r="AI54" i="1"/>
  <c r="AG54" i="1"/>
  <c r="AG55" i="1"/>
  <c r="AI55" i="1"/>
  <c r="AG56" i="1"/>
  <c r="AI56" i="1"/>
  <c r="AI57" i="1"/>
  <c r="AG57" i="1"/>
  <c r="AI58" i="1"/>
  <c r="AG58" i="1"/>
  <c r="AI59" i="1"/>
  <c r="AG59" i="1"/>
  <c r="AG61" i="1"/>
  <c r="AI61" i="1"/>
  <c r="AI62" i="1"/>
  <c r="AG62" i="1"/>
  <c r="AI63" i="1"/>
  <c r="AG63" i="1"/>
  <c r="AG64" i="1"/>
  <c r="AI64" i="1"/>
  <c r="AG65" i="1"/>
  <c r="AI65" i="1"/>
  <c r="AI68" i="1"/>
  <c r="AG68" i="1"/>
  <c r="AG69" i="1"/>
  <c r="AI69" i="1"/>
  <c r="AI72" i="1"/>
  <c r="AG72" i="1"/>
  <c r="AG74" i="1"/>
  <c r="AI74" i="1"/>
  <c r="AI76" i="1"/>
  <c r="AG76" i="1"/>
  <c r="AI79" i="1"/>
  <c r="AG79" i="1"/>
  <c r="AI80" i="1"/>
  <c r="AG80" i="1"/>
  <c r="AI81" i="1"/>
  <c r="AG81" i="1"/>
  <c r="AG82" i="1"/>
  <c r="AI82" i="1"/>
  <c r="AI83" i="1"/>
  <c r="AG83" i="1"/>
  <c r="AI85" i="1"/>
  <c r="AG85" i="1"/>
  <c r="AI84" i="1"/>
  <c r="AG84" i="1"/>
  <c r="AG70" i="1"/>
  <c r="AI70" i="1"/>
  <c r="AI44" i="1"/>
  <c r="AG44" i="1"/>
  <c r="AI38" i="1"/>
  <c r="AG38" i="1"/>
  <c r="AI71" i="1"/>
  <c r="AG71" i="1"/>
  <c r="AI66" i="1"/>
  <c r="AG66" i="1"/>
  <c r="AI52" i="1"/>
  <c r="AG52" i="1"/>
  <c r="AI53" i="1"/>
  <c r="AG53" i="1"/>
  <c r="AG5" i="1"/>
  <c r="AI5" i="1"/>
  <c r="AG19" i="1"/>
  <c r="AI19" i="1"/>
  <c r="AI13" i="1"/>
  <c r="AG13" i="1"/>
  <c r="AI17" i="1"/>
  <c r="AG17" i="1"/>
  <c r="AG32" i="1"/>
  <c r="AI32" i="1"/>
  <c r="AI12" i="1"/>
  <c r="AG12" i="1"/>
  <c r="AI73" i="1"/>
  <c r="AG73" i="1"/>
  <c r="AI43" i="1"/>
  <c r="AG43" i="1"/>
  <c r="AG60" i="1"/>
  <c r="AI60" i="1"/>
  <c r="AG41" i="1"/>
  <c r="AI41" i="1"/>
  <c r="AI6" i="1"/>
  <c r="AG6" i="1"/>
  <c r="AG78" i="1"/>
  <c r="AI78" i="1"/>
  <c r="AI18" i="1"/>
  <c r="AG18" i="1"/>
  <c r="AI49" i="1"/>
  <c r="AG49" i="1"/>
  <c r="AG35" i="1"/>
  <c r="AI35" i="1"/>
  <c r="AI77" i="1"/>
  <c r="AG77" i="1"/>
  <c r="AI8" i="1"/>
  <c r="AG8" i="1"/>
  <c r="AG36" i="1"/>
  <c r="AI36" i="1"/>
  <c r="AI33" i="1"/>
  <c r="AG33" i="1"/>
  <c r="AI75" i="1"/>
  <c r="AG75" i="1"/>
  <c r="AI40" i="1"/>
  <c r="AG40" i="1"/>
  <c r="AG16" i="1"/>
  <c r="AI16" i="1"/>
  <c r="AI25" i="1"/>
  <c r="AG25" i="1"/>
  <c r="AK82" i="1" l="1"/>
  <c r="AK61" i="1"/>
  <c r="AK40" i="1"/>
  <c r="AK32" i="1"/>
  <c r="AK39" i="1"/>
  <c r="AK34" i="1"/>
  <c r="AK15" i="1"/>
  <c r="AK6" i="1"/>
  <c r="AK20" i="1"/>
  <c r="AK16" i="1"/>
  <c r="AK38" i="1"/>
  <c r="AK14" i="1"/>
  <c r="AK73" i="1"/>
  <c r="AK42" i="1"/>
  <c r="AK54" i="1"/>
  <c r="AK50" i="1"/>
  <c r="AK30" i="1"/>
  <c r="AK68" i="1"/>
  <c r="AK64" i="1"/>
  <c r="AK26" i="1"/>
  <c r="AK75" i="1"/>
  <c r="AK36" i="1"/>
  <c r="AK41" i="1"/>
  <c r="AK43" i="1"/>
  <c r="AK72" i="1"/>
  <c r="AK74" i="1"/>
  <c r="AK56" i="1"/>
  <c r="AK31" i="1"/>
  <c r="AK35" i="1"/>
  <c r="AK47" i="1"/>
  <c r="AK49" i="1"/>
  <c r="AK78" i="1"/>
  <c r="AK52" i="1"/>
  <c r="AK71" i="1"/>
  <c r="AK83" i="1"/>
  <c r="AK81" i="1"/>
  <c r="AK79" i="1"/>
  <c r="AK57" i="1"/>
  <c r="AK55" i="1"/>
  <c r="AK51" i="1"/>
  <c r="AK46" i="1"/>
  <c r="AK28" i="1"/>
  <c r="AK24" i="1"/>
  <c r="AK8" i="1"/>
  <c r="AK60" i="1"/>
  <c r="AK17" i="1"/>
  <c r="AK66" i="1"/>
  <c r="AK70" i="1"/>
  <c r="AK80" i="1"/>
  <c r="AK37" i="1"/>
  <c r="AK27" i="1"/>
  <c r="AK23" i="1"/>
  <c r="AK11" i="1"/>
  <c r="AK9" i="1"/>
  <c r="AK4" i="1"/>
  <c r="AK33" i="1"/>
  <c r="AK77" i="1"/>
  <c r="AK25" i="1"/>
  <c r="AK18" i="1"/>
  <c r="AK19" i="1"/>
  <c r="AK22" i="1"/>
  <c r="AK63" i="1"/>
  <c r="AK59" i="1"/>
  <c r="AK45" i="1"/>
  <c r="AK10" i="1"/>
  <c r="AK65" i="1"/>
  <c r="AK21" i="1"/>
  <c r="AK84" i="1"/>
  <c r="AK85" i="1"/>
  <c r="AK76" i="1"/>
  <c r="AK29" i="1"/>
  <c r="AK69" i="1"/>
  <c r="AK13" i="1"/>
  <c r="AK44" i="1"/>
  <c r="AK48" i="1"/>
  <c r="AK53" i="1"/>
  <c r="AK7" i="1"/>
  <c r="AK12" i="1"/>
  <c r="AK5" i="1"/>
  <c r="AK62" i="1"/>
  <c r="AK58" i="1"/>
  <c r="T3" i="15" l="1"/>
  <c r="T4" i="15" s="1"/>
  <c r="T5" i="15" s="1"/>
  <c r="A15" i="15" l="1"/>
  <c r="P2" i="1"/>
  <c r="O2" i="1"/>
  <c r="N2" i="1"/>
  <c r="M2" i="1"/>
  <c r="B10" i="15"/>
  <c r="B9" i="15"/>
  <c r="P9" i="15" s="1"/>
  <c r="B8" i="15"/>
  <c r="E10" i="15"/>
  <c r="E9" i="15"/>
  <c r="Q9" i="15" s="1"/>
  <c r="E8" i="15"/>
  <c r="E11" i="15"/>
  <c r="B11" i="15"/>
  <c r="T25" i="17" l="1"/>
  <c r="AA26" i="17" l="1"/>
  <c r="Z26" i="17"/>
  <c r="Y26" i="17"/>
  <c r="X26" i="17"/>
  <c r="W26" i="17"/>
  <c r="V26" i="17"/>
  <c r="U26" i="17"/>
  <c r="T26" i="17"/>
  <c r="AA25" i="17"/>
  <c r="AA24" i="17"/>
  <c r="Z25" i="17"/>
  <c r="Z24" i="17"/>
  <c r="Y25" i="17"/>
  <c r="Y24" i="17"/>
  <c r="X25" i="17"/>
  <c r="X24" i="17"/>
  <c r="W25" i="17"/>
  <c r="V25" i="17"/>
  <c r="V24" i="17"/>
  <c r="U25" i="17"/>
  <c r="U24" i="17"/>
  <c r="T24" i="17"/>
  <c r="Y22" i="17"/>
  <c r="V23" i="17"/>
  <c r="V22" i="17"/>
  <c r="V21" i="17"/>
  <c r="T23" i="17"/>
  <c r="AF93" i="1" l="1"/>
  <c r="AF90" i="1"/>
  <c r="AF94" i="1"/>
  <c r="AF86" i="1"/>
  <c r="AF92" i="1"/>
  <c r="AF91" i="1"/>
  <c r="AF88" i="1"/>
  <c r="AF87" i="1"/>
  <c r="AF7" i="1"/>
  <c r="AF31" i="1"/>
  <c r="AF42" i="1"/>
  <c r="AF46" i="1"/>
  <c r="AF56" i="1"/>
  <c r="AF61" i="1"/>
  <c r="AF65" i="1"/>
  <c r="AF68" i="1"/>
  <c r="AF82" i="1"/>
  <c r="AF66" i="1"/>
  <c r="AF19" i="1"/>
  <c r="AF4" i="1"/>
  <c r="AF9" i="1"/>
  <c r="AF10" i="1"/>
  <c r="AF15" i="1"/>
  <c r="AF24" i="1"/>
  <c r="AF28" i="1"/>
  <c r="AF39" i="1"/>
  <c r="AF45" i="1"/>
  <c r="AF48" i="1"/>
  <c r="AF50" i="1"/>
  <c r="AF54" i="1"/>
  <c r="AF55" i="1"/>
  <c r="AF59" i="1"/>
  <c r="AF62" i="1"/>
  <c r="AF63" i="1"/>
  <c r="AF64" i="1"/>
  <c r="AF80" i="1"/>
  <c r="AF71" i="1"/>
  <c r="AF14" i="1"/>
  <c r="AF20" i="1"/>
  <c r="AF27" i="1"/>
  <c r="AF29" i="1"/>
  <c r="AF37" i="1"/>
  <c r="AF58" i="1"/>
  <c r="AF72" i="1"/>
  <c r="AF76" i="1"/>
  <c r="AF81" i="1"/>
  <c r="AF84" i="1"/>
  <c r="AF70" i="1"/>
  <c r="AF11" i="1"/>
  <c r="AF21" i="1"/>
  <c r="AF22" i="1"/>
  <c r="AF23" i="1"/>
  <c r="AF26" i="1"/>
  <c r="AF30" i="1"/>
  <c r="AF34" i="1"/>
  <c r="AF47" i="1"/>
  <c r="AF51" i="1"/>
  <c r="AF57" i="1"/>
  <c r="AF69" i="1"/>
  <c r="AF74" i="1"/>
  <c r="AF79" i="1"/>
  <c r="AF83" i="1"/>
  <c r="AF85" i="1"/>
  <c r="AF44" i="1"/>
  <c r="AF38" i="1"/>
  <c r="AF52" i="1"/>
  <c r="AF5" i="1"/>
  <c r="AF13" i="1"/>
  <c r="AF43" i="1"/>
  <c r="AF41" i="1"/>
  <c r="AF53" i="1"/>
  <c r="AF17" i="1"/>
  <c r="AF12" i="1"/>
  <c r="AF78" i="1"/>
  <c r="AF33" i="1"/>
  <c r="AF40" i="1"/>
  <c r="AF16" i="1"/>
  <c r="AF32" i="1"/>
  <c r="AF60" i="1"/>
  <c r="AF18" i="1"/>
  <c r="AF35" i="1"/>
  <c r="AF77" i="1"/>
  <c r="AF8" i="1"/>
  <c r="AF73" i="1"/>
  <c r="AF6" i="1"/>
  <c r="AF49" i="1"/>
  <c r="AF36" i="1"/>
  <c r="AF75" i="1"/>
  <c r="AF25" i="1"/>
  <c r="V19" i="17"/>
  <c r="V20" i="17" s="1"/>
  <c r="T10" i="17"/>
  <c r="U8" i="17"/>
  <c r="U9" i="17"/>
  <c r="U7" i="17"/>
  <c r="T7" i="17"/>
  <c r="U10" i="17"/>
  <c r="T8" i="17"/>
  <c r="T9" i="17"/>
  <c r="J44" i="17"/>
  <c r="G43" i="17"/>
  <c r="J45" i="17"/>
  <c r="I44" i="17"/>
  <c r="H43" i="17"/>
  <c r="H44" i="17"/>
  <c r="I43" i="17"/>
  <c r="G44" i="17"/>
  <c r="J43" i="17"/>
  <c r="Q2" i="1"/>
  <c r="H2" i="1"/>
  <c r="AJ94" i="1" l="1"/>
  <c r="AH94" i="1"/>
  <c r="AL94" i="1" s="1"/>
  <c r="AH90" i="1"/>
  <c r="AJ90" i="1"/>
  <c r="AJ93" i="1"/>
  <c r="AH93" i="1"/>
  <c r="AH88" i="1"/>
  <c r="AJ88" i="1"/>
  <c r="AJ91" i="1"/>
  <c r="AH91" i="1"/>
  <c r="AJ92" i="1"/>
  <c r="AH92" i="1"/>
  <c r="AJ87" i="1"/>
  <c r="AH87" i="1"/>
  <c r="AH86" i="1"/>
  <c r="AJ86" i="1"/>
  <c r="AH49" i="1"/>
  <c r="AJ49" i="1"/>
  <c r="AH77" i="1"/>
  <c r="AJ77" i="1"/>
  <c r="AJ32" i="1"/>
  <c r="AH32" i="1"/>
  <c r="AH78" i="1"/>
  <c r="AJ78" i="1"/>
  <c r="AH53" i="1"/>
  <c r="AJ53" i="1"/>
  <c r="AH5" i="1"/>
  <c r="AJ5" i="1"/>
  <c r="AH85" i="1"/>
  <c r="AJ85" i="1"/>
  <c r="AJ69" i="1"/>
  <c r="AH69" i="1"/>
  <c r="AH34" i="1"/>
  <c r="AJ34" i="1"/>
  <c r="AH22" i="1"/>
  <c r="AJ22" i="1"/>
  <c r="AJ84" i="1"/>
  <c r="AH84" i="1"/>
  <c r="AH58" i="1"/>
  <c r="AJ58" i="1"/>
  <c r="AJ20" i="1"/>
  <c r="AH20" i="1"/>
  <c r="AJ64" i="1"/>
  <c r="AH64" i="1"/>
  <c r="AJ55" i="1"/>
  <c r="AH55" i="1"/>
  <c r="AH45" i="1"/>
  <c r="AJ45" i="1"/>
  <c r="AJ15" i="1"/>
  <c r="AH15" i="1"/>
  <c r="AJ68" i="1"/>
  <c r="AH68" i="1"/>
  <c r="AH46" i="1"/>
  <c r="AJ46" i="1"/>
  <c r="AH25" i="1"/>
  <c r="AJ25" i="1"/>
  <c r="AH6" i="1"/>
  <c r="AJ6" i="1"/>
  <c r="AJ35" i="1"/>
  <c r="AH35" i="1"/>
  <c r="AJ16" i="1"/>
  <c r="AH16" i="1"/>
  <c r="AH41" i="1"/>
  <c r="AJ41" i="1"/>
  <c r="AJ52" i="1"/>
  <c r="AH52" i="1"/>
  <c r="AJ83" i="1"/>
  <c r="AH83" i="1"/>
  <c r="AH57" i="1"/>
  <c r="AJ57" i="1"/>
  <c r="AH30" i="1"/>
  <c r="AJ30" i="1"/>
  <c r="AH21" i="1"/>
  <c r="AJ21" i="1"/>
  <c r="AJ81" i="1"/>
  <c r="AH81" i="1"/>
  <c r="AH37" i="1"/>
  <c r="AJ37" i="1"/>
  <c r="AH14" i="1"/>
  <c r="AJ14" i="1"/>
  <c r="AJ63" i="1"/>
  <c r="AH63" i="1"/>
  <c r="AJ54" i="1"/>
  <c r="AH54" i="1"/>
  <c r="AJ39" i="1"/>
  <c r="AH39" i="1"/>
  <c r="AJ10" i="1"/>
  <c r="AH10" i="1"/>
  <c r="AJ19" i="1"/>
  <c r="AH19" i="1"/>
  <c r="AJ65" i="1"/>
  <c r="AH65" i="1"/>
  <c r="AH42" i="1"/>
  <c r="AJ42" i="1"/>
  <c r="AJ75" i="1"/>
  <c r="AH75" i="1"/>
  <c r="AJ73" i="1"/>
  <c r="AH73" i="1"/>
  <c r="AH18" i="1"/>
  <c r="AJ18" i="1"/>
  <c r="AJ40" i="1"/>
  <c r="AH40" i="1"/>
  <c r="AJ12" i="1"/>
  <c r="AH12" i="1"/>
  <c r="AJ43" i="1"/>
  <c r="AH43" i="1"/>
  <c r="AH38" i="1"/>
  <c r="AJ38" i="1"/>
  <c r="AJ79" i="1"/>
  <c r="AH79" i="1"/>
  <c r="AJ51" i="1"/>
  <c r="AH51" i="1"/>
  <c r="AH26" i="1"/>
  <c r="AJ26" i="1"/>
  <c r="AJ11" i="1"/>
  <c r="AH11" i="1"/>
  <c r="AJ76" i="1"/>
  <c r="AH76" i="1"/>
  <c r="AH29" i="1"/>
  <c r="AJ29" i="1"/>
  <c r="AJ71" i="1"/>
  <c r="AH71" i="1"/>
  <c r="AH62" i="1"/>
  <c r="AJ62" i="1"/>
  <c r="AJ50" i="1"/>
  <c r="AH50" i="1"/>
  <c r="AJ28" i="1"/>
  <c r="AH28" i="1"/>
  <c r="AH9" i="1"/>
  <c r="AJ9" i="1"/>
  <c r="AH66" i="1"/>
  <c r="AJ66" i="1"/>
  <c r="AH61" i="1"/>
  <c r="AJ61" i="1"/>
  <c r="AJ31" i="1"/>
  <c r="AH31" i="1"/>
  <c r="AJ36" i="1"/>
  <c r="AH36" i="1"/>
  <c r="AJ8" i="1"/>
  <c r="AH8" i="1"/>
  <c r="AJ60" i="1"/>
  <c r="AH60" i="1"/>
  <c r="AH33" i="1"/>
  <c r="AJ33" i="1"/>
  <c r="AH17" i="1"/>
  <c r="AJ17" i="1"/>
  <c r="AH13" i="1"/>
  <c r="AJ13" i="1"/>
  <c r="AJ44" i="1"/>
  <c r="AH44" i="1"/>
  <c r="AJ74" i="1"/>
  <c r="AH74" i="1"/>
  <c r="AJ47" i="1"/>
  <c r="AH47" i="1"/>
  <c r="AJ23" i="1"/>
  <c r="AH23" i="1"/>
  <c r="AH70" i="1"/>
  <c r="AJ70" i="1"/>
  <c r="AJ72" i="1"/>
  <c r="AH72" i="1"/>
  <c r="AJ27" i="1"/>
  <c r="AH27" i="1"/>
  <c r="AJ80" i="1"/>
  <c r="AH80" i="1"/>
  <c r="AJ59" i="1"/>
  <c r="AH59" i="1"/>
  <c r="AJ48" i="1"/>
  <c r="AH48" i="1"/>
  <c r="AJ24" i="1"/>
  <c r="AH24" i="1"/>
  <c r="AJ4" i="1"/>
  <c r="AH4" i="1"/>
  <c r="AJ82" i="1"/>
  <c r="AH82" i="1"/>
  <c r="AJ56" i="1"/>
  <c r="AH56" i="1"/>
  <c r="AJ7" i="1"/>
  <c r="AH7" i="1"/>
  <c r="W12" i="17"/>
  <c r="W8" i="17"/>
  <c r="V12" i="17"/>
  <c r="V8" i="17"/>
  <c r="W11" i="17"/>
  <c r="W7" i="17"/>
  <c r="V11" i="17"/>
  <c r="V7" i="17"/>
  <c r="W14" i="17"/>
  <c r="W10" i="17"/>
  <c r="V14" i="17"/>
  <c r="V10" i="17"/>
  <c r="W13" i="17"/>
  <c r="W9" i="17"/>
  <c r="V13" i="17"/>
  <c r="V9" i="17"/>
  <c r="AL92" i="1" l="1"/>
  <c r="AL93" i="1"/>
  <c r="AL87" i="1"/>
  <c r="AL88" i="1"/>
  <c r="AL90" i="1"/>
  <c r="AL91" i="1"/>
  <c r="AL14" i="1"/>
  <c r="AL86" i="1"/>
  <c r="AL82" i="1"/>
  <c r="AL73" i="1"/>
  <c r="AL38" i="1"/>
  <c r="AL25" i="1"/>
  <c r="AL7" i="1"/>
  <c r="AL40" i="1"/>
  <c r="AL35" i="1"/>
  <c r="AL61" i="1"/>
  <c r="AL24" i="1"/>
  <c r="AL59" i="1"/>
  <c r="AL27" i="1"/>
  <c r="AL71" i="1"/>
  <c r="AL13" i="1"/>
  <c r="AL6" i="1"/>
  <c r="AL62" i="1"/>
  <c r="AL5" i="1"/>
  <c r="AL47" i="1"/>
  <c r="AL44" i="1"/>
  <c r="AL17" i="1"/>
  <c r="AL60" i="1"/>
  <c r="AL36" i="1"/>
  <c r="AL50" i="1"/>
  <c r="AL76" i="1"/>
  <c r="AL26" i="1"/>
  <c r="AL79" i="1"/>
  <c r="AL43" i="1"/>
  <c r="AL19" i="1"/>
  <c r="AL39" i="1"/>
  <c r="AL63" i="1"/>
  <c r="AL37" i="1"/>
  <c r="AL21" i="1"/>
  <c r="AL52" i="1"/>
  <c r="AL16" i="1"/>
  <c r="AL68" i="1"/>
  <c r="AL15" i="1"/>
  <c r="AL55" i="1"/>
  <c r="AL20" i="1"/>
  <c r="AL84" i="1"/>
  <c r="AL34" i="1"/>
  <c r="AL85" i="1"/>
  <c r="AL32" i="1"/>
  <c r="AL49" i="1"/>
  <c r="AL30" i="1"/>
  <c r="AL33" i="1"/>
  <c r="AL66" i="1"/>
  <c r="AL46" i="1"/>
  <c r="AL58" i="1"/>
  <c r="AL78" i="1"/>
  <c r="AL56" i="1"/>
  <c r="AL4" i="1"/>
  <c r="AL48" i="1"/>
  <c r="AL80" i="1"/>
  <c r="AL72" i="1"/>
  <c r="AL23" i="1"/>
  <c r="AL74" i="1"/>
  <c r="AL8" i="1"/>
  <c r="AL31" i="1"/>
  <c r="AL28" i="1"/>
  <c r="AL29" i="1"/>
  <c r="AL11" i="1"/>
  <c r="AL51" i="1"/>
  <c r="AL12" i="1"/>
  <c r="AL18" i="1"/>
  <c r="AL75" i="1"/>
  <c r="AL65" i="1"/>
  <c r="AL10" i="1"/>
  <c r="AL54" i="1"/>
  <c r="AL81" i="1"/>
  <c r="AL83" i="1"/>
  <c r="AL41" i="1"/>
  <c r="AL64" i="1"/>
  <c r="AL69" i="1"/>
  <c r="AL70" i="1"/>
  <c r="AL9" i="1"/>
  <c r="AL42" i="1"/>
  <c r="AL57" i="1"/>
  <c r="AL53" i="1"/>
  <c r="AL45" i="1"/>
  <c r="AL22" i="1"/>
  <c r="AL77" i="1"/>
  <c r="M13" i="17"/>
  <c r="M4" i="17"/>
  <c r="G31" i="17"/>
  <c r="G22" i="17"/>
  <c r="G13" i="17"/>
  <c r="G4" i="17"/>
  <c r="B2" i="17"/>
  <c r="C17" i="17"/>
  <c r="F43" i="17"/>
  <c r="E44" i="17"/>
  <c r="E43" i="17"/>
  <c r="D43" i="17"/>
  <c r="C44" i="17"/>
  <c r="C43" i="17"/>
  <c r="D44" i="17"/>
  <c r="AJ28" i="17"/>
  <c r="F44" i="17"/>
  <c r="C18" i="17" l="1"/>
  <c r="C19" i="17"/>
  <c r="C15" i="17"/>
  <c r="M22" i="17"/>
  <c r="M31" i="17"/>
  <c r="C16" i="17"/>
  <c r="C20" i="17"/>
  <c r="G45" i="17"/>
  <c r="C35" i="17"/>
  <c r="C37" i="17"/>
  <c r="H45" i="17"/>
  <c r="C36" i="17"/>
  <c r="C38" i="17"/>
  <c r="I45" i="17"/>
  <c r="F45" i="17"/>
  <c r="B15" i="15"/>
  <c r="AI28" i="17" l="1"/>
  <c r="E5" i="15"/>
  <c r="A16" i="15"/>
  <c r="Q11" i="15"/>
  <c r="P11" i="15"/>
  <c r="Q10" i="15"/>
  <c r="P10" i="15"/>
  <c r="E7" i="15"/>
  <c r="B7" i="15"/>
  <c r="E6" i="15"/>
  <c r="B6" i="15"/>
  <c r="B5" i="15"/>
  <c r="E4" i="15"/>
  <c r="Q4" i="15" s="1"/>
  <c r="B4" i="15"/>
  <c r="AC90" i="1" l="1"/>
  <c r="AC93" i="1"/>
  <c r="AC94" i="1"/>
  <c r="AC91" i="1"/>
  <c r="AC88" i="1"/>
  <c r="AC86" i="1"/>
  <c r="AC92" i="1"/>
  <c r="AC87" i="1"/>
  <c r="AC14" i="1"/>
  <c r="AC15" i="1"/>
  <c r="AC21" i="1"/>
  <c r="AC22" i="1"/>
  <c r="AC26" i="1"/>
  <c r="AC27" i="1"/>
  <c r="AC28" i="1"/>
  <c r="AC30" i="1"/>
  <c r="AC45" i="1"/>
  <c r="AC47" i="1"/>
  <c r="AC50" i="1"/>
  <c r="AC57" i="1"/>
  <c r="AC58" i="1"/>
  <c r="AC59" i="1"/>
  <c r="AC68" i="1"/>
  <c r="AC72" i="1"/>
  <c r="AC81" i="1"/>
  <c r="AC82" i="1"/>
  <c r="AC83" i="1"/>
  <c r="AC84" i="1"/>
  <c r="AC38" i="1"/>
  <c r="AC52" i="1"/>
  <c r="AC10" i="1"/>
  <c r="AC11" i="1"/>
  <c r="AC20" i="1"/>
  <c r="AC37" i="1"/>
  <c r="AC42" i="1"/>
  <c r="AC51" i="1"/>
  <c r="AC63" i="1"/>
  <c r="AC64" i="1"/>
  <c r="AC79" i="1"/>
  <c r="AC70" i="1"/>
  <c r="AC7" i="1"/>
  <c r="AC23" i="1"/>
  <c r="AC24" i="1"/>
  <c r="AC34" i="1"/>
  <c r="AC46" i="1"/>
  <c r="AC48" i="1"/>
  <c r="AC61" i="1"/>
  <c r="AC62" i="1"/>
  <c r="AC65" i="1"/>
  <c r="AC69" i="1"/>
  <c r="AC80" i="1"/>
  <c r="AC85" i="1"/>
  <c r="AC71" i="1"/>
  <c r="AC4" i="1"/>
  <c r="AC9" i="1"/>
  <c r="AC29" i="1"/>
  <c r="AC31" i="1"/>
  <c r="AC39" i="1"/>
  <c r="AC54" i="1"/>
  <c r="AC55" i="1"/>
  <c r="AC56" i="1"/>
  <c r="AC74" i="1"/>
  <c r="AC76" i="1"/>
  <c r="AC44" i="1"/>
  <c r="AC5" i="1"/>
  <c r="AC17" i="1"/>
  <c r="AC32" i="1"/>
  <c r="AC12" i="1"/>
  <c r="AC6" i="1"/>
  <c r="AC13" i="1"/>
  <c r="AC73" i="1"/>
  <c r="AC43" i="1"/>
  <c r="AC35" i="1"/>
  <c r="AC36" i="1"/>
  <c r="AC75" i="1"/>
  <c r="AC25" i="1"/>
  <c r="AC66" i="1"/>
  <c r="AC53" i="1"/>
  <c r="AC19" i="1"/>
  <c r="AC60" i="1"/>
  <c r="AC41" i="1"/>
  <c r="AC49" i="1"/>
  <c r="AC77" i="1"/>
  <c r="AC78" i="1"/>
  <c r="AC18" i="1"/>
  <c r="AC8" i="1"/>
  <c r="AC33" i="1"/>
  <c r="AC40" i="1"/>
  <c r="AC16" i="1"/>
  <c r="P8" i="15"/>
  <c r="Q7" i="15"/>
  <c r="P5" i="15"/>
  <c r="P7" i="15"/>
  <c r="Q5" i="15"/>
  <c r="Q8" i="15"/>
  <c r="Q6" i="15"/>
  <c r="P4" i="15"/>
  <c r="P6" i="15"/>
  <c r="B16" i="15"/>
  <c r="A17" i="15"/>
  <c r="B17" i="15" s="1"/>
  <c r="T93" i="1" l="1"/>
  <c r="T90" i="1"/>
  <c r="V90" i="1" s="1"/>
  <c r="T94" i="1"/>
  <c r="U94" i="1"/>
  <c r="U90" i="1"/>
  <c r="U93" i="1"/>
  <c r="T91" i="1"/>
  <c r="V91" i="1" s="1"/>
  <c r="T87" i="1"/>
  <c r="V87" i="1" s="1"/>
  <c r="T86" i="1"/>
  <c r="V86" i="1" s="1"/>
  <c r="T88" i="1"/>
  <c r="V88" i="1" s="1"/>
  <c r="U86" i="1"/>
  <c r="T92" i="1"/>
  <c r="V92" i="1" s="1"/>
  <c r="U91" i="1"/>
  <c r="U92" i="1"/>
  <c r="U88" i="1"/>
  <c r="U87" i="1"/>
  <c r="U54" i="1"/>
  <c r="U61" i="1"/>
  <c r="U81" i="1"/>
  <c r="T82" i="1"/>
  <c r="V82" i="1" s="1"/>
  <c r="T73" i="1"/>
  <c r="V73" i="1" s="1"/>
  <c r="T16" i="1"/>
  <c r="U4" i="1"/>
  <c r="T54" i="1"/>
  <c r="V54" i="1" s="1"/>
  <c r="T74" i="1"/>
  <c r="V74" i="1" s="1"/>
  <c r="T81" i="1"/>
  <c r="V81" i="1" s="1"/>
  <c r="U60" i="1"/>
  <c r="T4" i="1"/>
  <c r="U64" i="1"/>
  <c r="U74" i="1"/>
  <c r="T32" i="1"/>
  <c r="U73" i="1"/>
  <c r="U40" i="1"/>
  <c r="U16" i="1"/>
  <c r="T61" i="1"/>
  <c r="V61" i="1" s="1"/>
  <c r="T64" i="1"/>
  <c r="V64" i="1" s="1"/>
  <c r="U82" i="1"/>
  <c r="U32" i="1"/>
  <c r="T60" i="1"/>
  <c r="V60" i="1" s="1"/>
  <c r="T40" i="1"/>
  <c r="U62" i="1"/>
  <c r="U52" i="1"/>
  <c r="T78" i="1"/>
  <c r="V78" i="1" s="1"/>
  <c r="T70" i="1"/>
  <c r="T66" i="1"/>
  <c r="T62" i="1"/>
  <c r="T58" i="1"/>
  <c r="T50" i="1"/>
  <c r="T46" i="1"/>
  <c r="T42" i="1"/>
  <c r="T38" i="1"/>
  <c r="T34" i="1"/>
  <c r="T30" i="1"/>
  <c r="T26" i="1"/>
  <c r="T22" i="1"/>
  <c r="T18" i="1"/>
  <c r="T14" i="1"/>
  <c r="T10" i="1"/>
  <c r="T6" i="1"/>
  <c r="U77" i="1"/>
  <c r="U57" i="1"/>
  <c r="U51" i="1"/>
  <c r="U37" i="1"/>
  <c r="U21" i="1"/>
  <c r="U15" i="1"/>
  <c r="T85" i="1"/>
  <c r="V85" i="1" s="1"/>
  <c r="T77" i="1"/>
  <c r="T69" i="1"/>
  <c r="T65" i="1"/>
  <c r="V65" i="1" s="1"/>
  <c r="T57" i="1"/>
  <c r="T53" i="1"/>
  <c r="V53" i="1" s="1"/>
  <c r="T49" i="1"/>
  <c r="T45" i="1"/>
  <c r="T41" i="1"/>
  <c r="T37" i="1"/>
  <c r="T33" i="1"/>
  <c r="T29" i="1"/>
  <c r="T25" i="1"/>
  <c r="T21" i="1"/>
  <c r="T17" i="1"/>
  <c r="T13" i="1"/>
  <c r="T9" i="1"/>
  <c r="T5" i="1"/>
  <c r="U75" i="1"/>
  <c r="U42" i="1"/>
  <c r="U34" i="1"/>
  <c r="U19" i="1"/>
  <c r="U12" i="1"/>
  <c r="T84" i="1"/>
  <c r="T80" i="1"/>
  <c r="T76" i="1"/>
  <c r="T72" i="1"/>
  <c r="T68" i="1"/>
  <c r="V68" i="1" s="1"/>
  <c r="T56" i="1"/>
  <c r="T52" i="1"/>
  <c r="T48" i="1"/>
  <c r="T44" i="1"/>
  <c r="T36" i="1"/>
  <c r="T28" i="1"/>
  <c r="T24" i="1"/>
  <c r="T20" i="1"/>
  <c r="T12" i="1"/>
  <c r="T8" i="1"/>
  <c r="U71" i="1"/>
  <c r="T83" i="1"/>
  <c r="T79" i="1"/>
  <c r="T75" i="1"/>
  <c r="T71" i="1"/>
  <c r="T63" i="1"/>
  <c r="T59" i="1"/>
  <c r="T55" i="1"/>
  <c r="T51" i="1"/>
  <c r="T47" i="1"/>
  <c r="T43" i="1"/>
  <c r="T39" i="1"/>
  <c r="T35" i="1"/>
  <c r="T31" i="1"/>
  <c r="T27" i="1"/>
  <c r="T23" i="1"/>
  <c r="T19" i="1"/>
  <c r="T15" i="1"/>
  <c r="T11" i="1"/>
  <c r="T7" i="1"/>
  <c r="U45" i="1"/>
  <c r="U27" i="1"/>
  <c r="U83" i="1"/>
  <c r="U63" i="1"/>
  <c r="U49" i="1"/>
  <c r="U33" i="1"/>
  <c r="U11" i="1"/>
  <c r="U28" i="1"/>
  <c r="U10" i="1"/>
  <c r="U76" i="1"/>
  <c r="U66" i="1"/>
  <c r="U46" i="1"/>
  <c r="U26" i="1"/>
  <c r="U6" i="1"/>
  <c r="U39" i="1"/>
  <c r="U23" i="1"/>
  <c r="U79" i="1"/>
  <c r="U59" i="1"/>
  <c r="U47" i="1"/>
  <c r="U29" i="1"/>
  <c r="U9" i="1"/>
  <c r="U24" i="1"/>
  <c r="U84" i="1"/>
  <c r="U72" i="1"/>
  <c r="U58" i="1"/>
  <c r="U44" i="1"/>
  <c r="U22" i="1"/>
  <c r="U7" i="1"/>
  <c r="U35" i="1"/>
  <c r="U13" i="1"/>
  <c r="U69" i="1"/>
  <c r="U55" i="1"/>
  <c r="U43" i="1"/>
  <c r="U25" i="1"/>
  <c r="U50" i="1"/>
  <c r="U20" i="1"/>
  <c r="U80" i="1"/>
  <c r="U70" i="1"/>
  <c r="U56" i="1"/>
  <c r="U36" i="1"/>
  <c r="U18" i="1"/>
  <c r="U5" i="1"/>
  <c r="U31" i="1"/>
  <c r="U85" i="1"/>
  <c r="U65" i="1"/>
  <c r="U53" i="1"/>
  <c r="U41" i="1"/>
  <c r="U17" i="1"/>
  <c r="U38" i="1"/>
  <c r="U14" i="1"/>
  <c r="U78" i="1"/>
  <c r="U68" i="1"/>
  <c r="U48" i="1"/>
  <c r="U30" i="1"/>
  <c r="U8" i="1"/>
  <c r="U3" i="1"/>
  <c r="A18" i="15"/>
  <c r="B18" i="15" s="1"/>
  <c r="S2" i="1"/>
  <c r="R2" i="1"/>
  <c r="C3" i="1" s="1"/>
  <c r="K2" i="1"/>
  <c r="J2" i="1"/>
  <c r="I2" i="1"/>
  <c r="V48" i="1" l="1"/>
  <c r="AB48" i="1" s="1"/>
  <c r="V38" i="1"/>
  <c r="AB38" i="1" s="1"/>
  <c r="V32" i="1"/>
  <c r="AB32" i="1" s="1"/>
  <c r="V40" i="1"/>
  <c r="AB40" i="1" s="1"/>
  <c r="V41" i="1"/>
  <c r="AB41" i="1" s="1"/>
  <c r="V31" i="1"/>
  <c r="AB31" i="1" s="1"/>
  <c r="V30" i="1"/>
  <c r="AB30" i="1" s="1"/>
  <c r="V17" i="1"/>
  <c r="AB17" i="1" s="1"/>
  <c r="V5" i="1"/>
  <c r="AB5" i="1" s="1"/>
  <c r="V16" i="1"/>
  <c r="AB16" i="1" s="1"/>
  <c r="V14" i="1"/>
  <c r="AB14" i="1" s="1"/>
  <c r="AI3" i="1"/>
  <c r="AF3" i="1"/>
  <c r="AH3" i="1" s="1"/>
  <c r="C67" i="1"/>
  <c r="C89" i="1"/>
  <c r="AI89" i="1"/>
  <c r="AF89" i="1"/>
  <c r="AJ89" i="1" s="1"/>
  <c r="U89" i="1"/>
  <c r="V94" i="1"/>
  <c r="V93" i="1"/>
  <c r="AI67" i="1"/>
  <c r="AF67" i="1"/>
  <c r="AH67" i="1" s="1"/>
  <c r="U67" i="1"/>
  <c r="C2" i="1"/>
  <c r="C95" i="1"/>
  <c r="V4" i="1"/>
  <c r="AB4" i="1" s="1"/>
  <c r="U2" i="1"/>
  <c r="V7" i="1"/>
  <c r="AB7" i="1" s="1"/>
  <c r="V23" i="1"/>
  <c r="AB23" i="1" s="1"/>
  <c r="V39" i="1"/>
  <c r="AB39" i="1" s="1"/>
  <c r="V55" i="1"/>
  <c r="V75" i="1"/>
  <c r="V8" i="1"/>
  <c r="AB8" i="1" s="1"/>
  <c r="V28" i="1"/>
  <c r="AB28" i="1" s="1"/>
  <c r="V52" i="1"/>
  <c r="V76" i="1"/>
  <c r="V21" i="1"/>
  <c r="AB21" i="1" s="1"/>
  <c r="V37" i="1"/>
  <c r="AB37" i="1" s="1"/>
  <c r="V77" i="1"/>
  <c r="V18" i="1"/>
  <c r="AB18" i="1" s="1"/>
  <c r="V34" i="1"/>
  <c r="AB34" i="1" s="1"/>
  <c r="V50" i="1"/>
  <c r="AB50" i="1" s="1"/>
  <c r="V70" i="1"/>
  <c r="V11" i="1"/>
  <c r="AB11" i="1" s="1"/>
  <c r="V27" i="1"/>
  <c r="AB27" i="1" s="1"/>
  <c r="V43" i="1"/>
  <c r="AB43" i="1" s="1"/>
  <c r="V59" i="1"/>
  <c r="V79" i="1"/>
  <c r="V12" i="1"/>
  <c r="AB12" i="1" s="1"/>
  <c r="V36" i="1"/>
  <c r="AB36" i="1" s="1"/>
  <c r="V56" i="1"/>
  <c r="V80" i="1"/>
  <c r="V9" i="1"/>
  <c r="AB9" i="1" s="1"/>
  <c r="V25" i="1"/>
  <c r="AB25" i="1" s="1"/>
  <c r="V57" i="1"/>
  <c r="V6" i="1"/>
  <c r="AB6" i="1" s="1"/>
  <c r="V22" i="1"/>
  <c r="AB22" i="1" s="1"/>
  <c r="V58" i="1"/>
  <c r="V15" i="1"/>
  <c r="AB15" i="1" s="1"/>
  <c r="V47" i="1"/>
  <c r="AB47" i="1" s="1"/>
  <c r="V63" i="1"/>
  <c r="V83" i="1"/>
  <c r="V20" i="1"/>
  <c r="AB20" i="1" s="1"/>
  <c r="V44" i="1"/>
  <c r="AB44" i="1" s="1"/>
  <c r="V84" i="1"/>
  <c r="V13" i="1"/>
  <c r="AB13" i="1" s="1"/>
  <c r="V29" i="1"/>
  <c r="AB29" i="1" s="1"/>
  <c r="V45" i="1"/>
  <c r="AB45" i="1" s="1"/>
  <c r="V10" i="1"/>
  <c r="AB10" i="1" s="1"/>
  <c r="V26" i="1"/>
  <c r="AB26" i="1" s="1"/>
  <c r="V42" i="1"/>
  <c r="AB42" i="1" s="1"/>
  <c r="V62" i="1"/>
  <c r="V19" i="1"/>
  <c r="AB19" i="1" s="1"/>
  <c r="V35" i="1"/>
  <c r="AB35" i="1" s="1"/>
  <c r="V51" i="1"/>
  <c r="AB51" i="1" s="1"/>
  <c r="V71" i="1"/>
  <c r="V24" i="1"/>
  <c r="AB24" i="1" s="1"/>
  <c r="V72" i="1"/>
  <c r="V33" i="1"/>
  <c r="AB33" i="1" s="1"/>
  <c r="V49" i="1"/>
  <c r="AB49" i="1" s="1"/>
  <c r="V69" i="1"/>
  <c r="V46" i="1"/>
  <c r="AB46" i="1" s="1"/>
  <c r="V66" i="1"/>
  <c r="U14" i="17"/>
  <c r="T14" i="17"/>
  <c r="X14" i="17" s="1"/>
  <c r="Y14" i="17" s="1"/>
  <c r="U12" i="17"/>
  <c r="T12" i="17"/>
  <c r="X12" i="17" s="1"/>
  <c r="Y12" i="17" s="1"/>
  <c r="U13" i="17"/>
  <c r="T13" i="17"/>
  <c r="X13" i="17" s="1"/>
  <c r="Y13" i="17" s="1"/>
  <c r="AI95" i="1"/>
  <c r="AF95" i="1"/>
  <c r="AH95" i="1" s="1"/>
  <c r="Z13" i="17"/>
  <c r="AA10" i="17"/>
  <c r="Z11" i="17"/>
  <c r="AA13" i="17"/>
  <c r="Z8" i="17"/>
  <c r="Z7" i="17"/>
  <c r="Z10" i="17"/>
  <c r="AA8" i="17"/>
  <c r="AA7" i="17"/>
  <c r="AA9" i="17"/>
  <c r="Z12" i="17"/>
  <c r="AA12" i="17"/>
  <c r="AA11" i="17"/>
  <c r="AA14" i="17"/>
  <c r="Z14" i="17"/>
  <c r="Z9" i="17"/>
  <c r="U13" i="15"/>
  <c r="J8" i="15" s="1"/>
  <c r="K8" i="15" s="1"/>
  <c r="AI2" i="1"/>
  <c r="AF2" i="1"/>
  <c r="AH2" i="1" s="1"/>
  <c r="A19" i="15"/>
  <c r="B19" i="15" s="1"/>
  <c r="AJ3" i="1" l="1"/>
  <c r="AH89" i="1"/>
  <c r="AJ67" i="1"/>
  <c r="B46" i="1"/>
  <c r="B93" i="1"/>
  <c r="B94" i="1"/>
  <c r="B86" i="1"/>
  <c r="B92" i="1"/>
  <c r="B89" i="1"/>
  <c r="B87" i="1"/>
  <c r="B90" i="1"/>
  <c r="B88" i="1"/>
  <c r="B91" i="1"/>
  <c r="B27" i="1"/>
  <c r="B76" i="1"/>
  <c r="B51" i="1"/>
  <c r="AJ95" i="1"/>
  <c r="J10" i="15"/>
  <c r="AD14" i="17"/>
  <c r="AD12" i="17"/>
  <c r="AD13" i="17"/>
  <c r="AJ2" i="1"/>
  <c r="AC14" i="17"/>
  <c r="AC12" i="17"/>
  <c r="AC13" i="17"/>
  <c r="A20" i="15"/>
  <c r="B20" i="15" s="1"/>
  <c r="B10" i="1"/>
  <c r="B8" i="1" l="1"/>
  <c r="B16" i="1"/>
  <c r="B80" i="1"/>
  <c r="B84" i="1"/>
  <c r="B71" i="1"/>
  <c r="B60" i="1"/>
  <c r="B32" i="1"/>
  <c r="B68" i="1"/>
  <c r="B48" i="1"/>
  <c r="B35" i="1"/>
  <c r="B85" i="1"/>
  <c r="B19" i="1"/>
  <c r="B38" i="1"/>
  <c r="B82" i="1"/>
  <c r="B9" i="1"/>
  <c r="B65" i="1"/>
  <c r="B39" i="1"/>
  <c r="B15" i="1"/>
  <c r="B61" i="1"/>
  <c r="B34" i="1"/>
  <c r="B7" i="1"/>
  <c r="B24" i="1"/>
  <c r="B83" i="1"/>
  <c r="B44" i="1"/>
  <c r="B52" i="1"/>
  <c r="B13" i="1"/>
  <c r="B73" i="1"/>
  <c r="B4" i="1"/>
  <c r="B78" i="1"/>
  <c r="B72" i="1"/>
  <c r="B40" i="1"/>
  <c r="B25" i="1"/>
  <c r="B70" i="1"/>
  <c r="B33" i="1"/>
  <c r="B5" i="1"/>
  <c r="B6" i="1"/>
  <c r="B58" i="1"/>
  <c r="B30" i="1"/>
  <c r="B79" i="1"/>
  <c r="B56" i="1"/>
  <c r="B28" i="1"/>
  <c r="B18" i="1"/>
  <c r="B29" i="1"/>
  <c r="B31" i="1"/>
  <c r="B37" i="1"/>
  <c r="B42" i="1"/>
  <c r="B41" i="1"/>
  <c r="B20" i="1"/>
  <c r="B36" i="1"/>
  <c r="B43" i="1"/>
  <c r="B49" i="1"/>
  <c r="B77" i="1"/>
  <c r="B12" i="1"/>
  <c r="B22" i="1"/>
  <c r="B81" i="1"/>
  <c r="B54" i="1"/>
  <c r="B23" i="1"/>
  <c r="B69" i="1"/>
  <c r="B50" i="1"/>
  <c r="B26" i="1"/>
  <c r="B14" i="1"/>
  <c r="B55" i="1"/>
  <c r="B57" i="1"/>
  <c r="B59" i="1"/>
  <c r="B62" i="1"/>
  <c r="B64" i="1"/>
  <c r="B75" i="1"/>
  <c r="B11" i="1"/>
  <c r="B53" i="1"/>
  <c r="B67" i="1"/>
  <c r="B17" i="1"/>
  <c r="B66" i="1"/>
  <c r="B21" i="1"/>
  <c r="B74" i="1"/>
  <c r="B47" i="1"/>
  <c r="B3" i="1"/>
  <c r="B63" i="1"/>
  <c r="B45" i="1"/>
  <c r="B2" i="1"/>
  <c r="AE14" i="17"/>
  <c r="K6" i="17" s="1"/>
  <c r="AF14" i="17"/>
  <c r="K9" i="17" s="1"/>
  <c r="AF13" i="17"/>
  <c r="K18" i="17" s="1"/>
  <c r="AE13" i="17"/>
  <c r="K15" i="17" s="1"/>
  <c r="AE12" i="17"/>
  <c r="K24" i="17" s="1"/>
  <c r="AF12" i="17"/>
  <c r="K27" i="17" s="1"/>
  <c r="A21" i="15"/>
  <c r="B21" i="15" s="1"/>
  <c r="B95" i="1"/>
  <c r="A22" i="15" l="1"/>
  <c r="B22" i="15" s="1"/>
  <c r="A23" i="15" l="1"/>
  <c r="B23" i="15" s="1"/>
  <c r="A24" i="15" l="1"/>
  <c r="B24" i="15" s="1"/>
  <c r="A25" i="15" l="1"/>
  <c r="B25" i="15" s="1"/>
  <c r="A26" i="15" l="1"/>
  <c r="B26" i="15" s="1"/>
  <c r="A27" i="15" l="1"/>
  <c r="B27" i="15" s="1"/>
  <c r="A28" i="15" l="1"/>
  <c r="B28" i="15" s="1"/>
  <c r="A29" i="15" l="1"/>
  <c r="B29" i="15" s="1"/>
  <c r="A30" i="15" l="1"/>
  <c r="B30" i="15" s="1"/>
  <c r="A31" i="15" l="1"/>
  <c r="B31" i="15" s="1"/>
  <c r="A32" i="15" l="1"/>
  <c r="B32" i="15" s="1"/>
  <c r="A33" i="15" l="1"/>
  <c r="B33" i="15" s="1"/>
  <c r="A34" i="15" l="1"/>
  <c r="B34" i="15" s="1"/>
  <c r="A35" i="15" l="1"/>
  <c r="B35" i="15" s="1"/>
  <c r="A36" i="15" l="1"/>
  <c r="B36" i="15" s="1"/>
  <c r="A37" i="15" l="1"/>
  <c r="B37" i="15" s="1"/>
  <c r="A38" i="15" l="1"/>
  <c r="B38" i="15" s="1"/>
  <c r="A39" i="15" l="1"/>
  <c r="B39" i="15" s="1"/>
  <c r="A40" i="15" l="1"/>
  <c r="B40" i="15" s="1"/>
  <c r="A41" i="15" l="1"/>
  <c r="B41" i="15" s="1"/>
  <c r="A42" i="15" l="1"/>
  <c r="B42" i="15" s="1"/>
  <c r="A43" i="15" l="1"/>
  <c r="B43" i="15" s="1"/>
  <c r="A44" i="15" l="1"/>
  <c r="B44" i="15" s="1"/>
  <c r="A45" i="15" l="1"/>
  <c r="B45" i="15" s="1"/>
  <c r="A46" i="15" l="1"/>
  <c r="B46" i="15" l="1"/>
  <c r="A47" i="15"/>
  <c r="AH21" i="17"/>
  <c r="AH20" i="17"/>
  <c r="A48" i="15" l="1"/>
  <c r="B47" i="15"/>
  <c r="AH19" i="17"/>
  <c r="A49" i="15" l="1"/>
  <c r="B48" i="15"/>
  <c r="U95" i="1"/>
  <c r="A50" i="15" l="1"/>
  <c r="B49" i="15"/>
  <c r="L2" i="1"/>
  <c r="AG95" i="1"/>
  <c r="A51" i="15" l="1"/>
  <c r="B50" i="15"/>
  <c r="T3" i="1"/>
  <c r="AC3" i="1"/>
  <c r="AG3" i="1"/>
  <c r="AC89" i="1"/>
  <c r="AG89" i="1"/>
  <c r="T89" i="1"/>
  <c r="T2" i="1"/>
  <c r="V2" i="1" s="1"/>
  <c r="AG67" i="1"/>
  <c r="AC67" i="1"/>
  <c r="T67" i="1"/>
  <c r="V67" i="1" s="1"/>
  <c r="AG2" i="1"/>
  <c r="U11" i="17"/>
  <c r="AD11" i="17" s="1"/>
  <c r="T11" i="17"/>
  <c r="AK95" i="1"/>
  <c r="AL95" i="1" s="1"/>
  <c r="AD8" i="17"/>
  <c r="AC8" i="17"/>
  <c r="AC7" i="17"/>
  <c r="AC2" i="1"/>
  <c r="AD7" i="17"/>
  <c r="X10" i="17"/>
  <c r="AD10" i="17"/>
  <c r="AC9" i="17"/>
  <c r="AC95" i="1"/>
  <c r="AB95" i="1"/>
  <c r="X95" i="1"/>
  <c r="Z95" i="1" s="1"/>
  <c r="AD9" i="17"/>
  <c r="A52" i="15" l="1"/>
  <c r="B51" i="15"/>
  <c r="AK3" i="1"/>
  <c r="AL3" i="1" s="1"/>
  <c r="V3" i="1"/>
  <c r="AB3" i="1" s="1"/>
  <c r="V89" i="1"/>
  <c r="AK89" i="1"/>
  <c r="AL89" i="1" s="1"/>
  <c r="AK67" i="1"/>
  <c r="AL67" i="1" s="1"/>
  <c r="AC10" i="17"/>
  <c r="X9" i="17"/>
  <c r="Y9" i="17" s="1"/>
  <c r="AF9" i="17" s="1"/>
  <c r="Q18" i="17" s="1"/>
  <c r="X7" i="17"/>
  <c r="AE7" i="17" s="1"/>
  <c r="Q33" i="17" s="1"/>
  <c r="X8" i="17"/>
  <c r="Y8" i="17" s="1"/>
  <c r="AF8" i="17" s="1"/>
  <c r="Q27" i="17" s="1"/>
  <c r="AE2" i="1"/>
  <c r="AC11" i="17"/>
  <c r="X11" i="17"/>
  <c r="AK2" i="1"/>
  <c r="Y10" i="17"/>
  <c r="AF10" i="17" s="1"/>
  <c r="Q9" i="17" s="1"/>
  <c r="AE10" i="17"/>
  <c r="Q6" i="17" s="1"/>
  <c r="AH18" i="17" l="1"/>
  <c r="X24" i="1"/>
  <c r="Z24" i="1" s="1"/>
  <c r="X20" i="1"/>
  <c r="Z20" i="1" s="1"/>
  <c r="X46" i="1"/>
  <c r="Z46" i="1" s="1"/>
  <c r="X58" i="1"/>
  <c r="Z58" i="1" s="1"/>
  <c r="X56" i="1"/>
  <c r="Z56" i="1" s="1"/>
  <c r="X52" i="1"/>
  <c r="Z52" i="1" s="1"/>
  <c r="X31" i="1"/>
  <c r="Z31" i="1" s="1"/>
  <c r="X59" i="1"/>
  <c r="Z59" i="1" s="1"/>
  <c r="X55" i="1"/>
  <c r="Z55" i="1" s="1"/>
  <c r="X15" i="1"/>
  <c r="Z15" i="1" s="1"/>
  <c r="A53" i="15"/>
  <c r="B52" i="15"/>
  <c r="AE9" i="17"/>
  <c r="Q15" i="17" s="1"/>
  <c r="X37" i="1"/>
  <c r="Z37" i="1" s="1"/>
  <c r="X21" i="1"/>
  <c r="Z21" i="1" s="1"/>
  <c r="X22" i="1"/>
  <c r="Z22" i="1" s="1"/>
  <c r="X42" i="1"/>
  <c r="Z42" i="1" s="1"/>
  <c r="X65" i="1"/>
  <c r="Z65" i="1" s="1"/>
  <c r="X26" i="1"/>
  <c r="Z26" i="1" s="1"/>
  <c r="X47" i="1"/>
  <c r="Z47" i="1" s="1"/>
  <c r="X94" i="1"/>
  <c r="Z94" i="1" s="1"/>
  <c r="X93" i="1"/>
  <c r="Z93" i="1" s="1"/>
  <c r="X68" i="1"/>
  <c r="Z68" i="1" s="1"/>
  <c r="X10" i="1"/>
  <c r="Z10" i="1" s="1"/>
  <c r="X86" i="1"/>
  <c r="Z86" i="1" s="1"/>
  <c r="X90" i="1"/>
  <c r="Z90" i="1" s="1"/>
  <c r="X87" i="1"/>
  <c r="Z87" i="1" s="1"/>
  <c r="X91" i="1"/>
  <c r="Z91" i="1" s="1"/>
  <c r="X88" i="1"/>
  <c r="Z88" i="1" s="1"/>
  <c r="X92" i="1"/>
  <c r="Z92" i="1" s="1"/>
  <c r="X89" i="1"/>
  <c r="Z89" i="1" s="1"/>
  <c r="X63" i="1"/>
  <c r="Z63" i="1" s="1"/>
  <c r="X27" i="1"/>
  <c r="Z27" i="1" s="1"/>
  <c r="X39" i="1"/>
  <c r="Z39" i="1" s="1"/>
  <c r="X50" i="1"/>
  <c r="Z50" i="1" s="1"/>
  <c r="X79" i="1"/>
  <c r="Z79" i="1" s="1"/>
  <c r="X57" i="1"/>
  <c r="Z57" i="1" s="1"/>
  <c r="X80" i="1"/>
  <c r="Z80" i="1" s="1"/>
  <c r="X76" i="1"/>
  <c r="Z76" i="1" s="1"/>
  <c r="X72" i="1"/>
  <c r="Z72" i="1" s="1"/>
  <c r="X84" i="1"/>
  <c r="Z84" i="1" s="1"/>
  <c r="X66" i="1"/>
  <c r="Z66" i="1" s="1"/>
  <c r="X8" i="1"/>
  <c r="Z8" i="1" s="1"/>
  <c r="X77" i="1"/>
  <c r="Z77" i="1" s="1"/>
  <c r="X49" i="1"/>
  <c r="Z49" i="1" s="1"/>
  <c r="X18" i="1"/>
  <c r="Z18" i="1" s="1"/>
  <c r="X11" i="1"/>
  <c r="Z11" i="1" s="1"/>
  <c r="X69" i="1"/>
  <c r="Z69" i="1" s="1"/>
  <c r="X12" i="1"/>
  <c r="Z12" i="1" s="1"/>
  <c r="X17" i="1"/>
  <c r="Z17" i="1" s="1"/>
  <c r="X23" i="1"/>
  <c r="Z23" i="1" s="1"/>
  <c r="X7" i="1"/>
  <c r="Z7" i="1" s="1"/>
  <c r="X9" i="1"/>
  <c r="Z9" i="1" s="1"/>
  <c r="X41" i="1"/>
  <c r="Z41" i="1" s="1"/>
  <c r="X3" i="1"/>
  <c r="Z3" i="1" s="1"/>
  <c r="X78" i="1"/>
  <c r="Z78" i="1" s="1"/>
  <c r="X29" i="1"/>
  <c r="Z29" i="1" s="1"/>
  <c r="X44" i="1"/>
  <c r="Z44" i="1" s="1"/>
  <c r="X28" i="1"/>
  <c r="Z28" i="1" s="1"/>
  <c r="X35" i="1"/>
  <c r="Z35" i="1" s="1"/>
  <c r="X6" i="1"/>
  <c r="Z6" i="1" s="1"/>
  <c r="X5" i="1"/>
  <c r="Z5" i="1" s="1"/>
  <c r="X36" i="1"/>
  <c r="Z36" i="1" s="1"/>
  <c r="X70" i="1"/>
  <c r="Z70" i="1" s="1"/>
  <c r="X45" i="1"/>
  <c r="Z45" i="1" s="1"/>
  <c r="X13" i="1"/>
  <c r="Z13" i="1" s="1"/>
  <c r="X62" i="1"/>
  <c r="Z62" i="1" s="1"/>
  <c r="X43" i="1"/>
  <c r="Z43" i="1" s="1"/>
  <c r="X83" i="1"/>
  <c r="Z83" i="1" s="1"/>
  <c r="X51" i="1"/>
  <c r="Z51" i="1" s="1"/>
  <c r="X48" i="1"/>
  <c r="Z48" i="1" s="1"/>
  <c r="X71" i="1"/>
  <c r="Z71" i="1" s="1"/>
  <c r="X75" i="1"/>
  <c r="Z75" i="1" s="1"/>
  <c r="X19" i="1"/>
  <c r="Z19" i="1" s="1"/>
  <c r="X85" i="1"/>
  <c r="Z85" i="1" s="1"/>
  <c r="X53" i="1"/>
  <c r="Z53" i="1" s="1"/>
  <c r="X38" i="1"/>
  <c r="Z38" i="1" s="1"/>
  <c r="X14" i="1"/>
  <c r="Z14" i="1" s="1"/>
  <c r="X30" i="1"/>
  <c r="Z30" i="1" s="1"/>
  <c r="X34" i="1"/>
  <c r="Z34" i="1" s="1"/>
  <c r="X25" i="1"/>
  <c r="Z25" i="1" s="1"/>
  <c r="X33" i="1"/>
  <c r="Z33" i="1" s="1"/>
  <c r="X82" i="1"/>
  <c r="Z82" i="1" s="1"/>
  <c r="X74" i="1"/>
  <c r="Z74" i="1" s="1"/>
  <c r="X54" i="1"/>
  <c r="Z54" i="1" s="1"/>
  <c r="X81" i="1"/>
  <c r="Z81" i="1" s="1"/>
  <c r="X73" i="1"/>
  <c r="Z73" i="1" s="1"/>
  <c r="X61" i="1"/>
  <c r="Z61" i="1" s="1"/>
  <c r="X64" i="1"/>
  <c r="Z64" i="1" s="1"/>
  <c r="X60" i="1"/>
  <c r="Z60" i="1" s="1"/>
  <c r="X67" i="1"/>
  <c r="Z67" i="1" s="1"/>
  <c r="X32" i="1"/>
  <c r="Z32" i="1" s="1"/>
  <c r="X40" i="1"/>
  <c r="Z40" i="1" s="1"/>
  <c r="X16" i="1"/>
  <c r="Z16" i="1" s="1"/>
  <c r="X4" i="1"/>
  <c r="Z4" i="1" s="1"/>
  <c r="AE8" i="17"/>
  <c r="Q24" i="17" s="1"/>
  <c r="Y7" i="17"/>
  <c r="AF7" i="17" s="1"/>
  <c r="Q36" i="17" s="1"/>
  <c r="X2" i="1"/>
  <c r="Z2" i="1" s="1"/>
  <c r="AL2" i="1"/>
  <c r="Y11" i="17"/>
  <c r="AF11" i="17" s="1"/>
  <c r="K36" i="17" s="1"/>
  <c r="AE11" i="17"/>
  <c r="K33" i="17" s="1"/>
  <c r="A54" i="15" l="1"/>
  <c r="B53" i="15"/>
  <c r="AB13" i="15"/>
  <c r="AH16" i="17"/>
  <c r="AH12" i="17"/>
  <c r="AH8" i="17"/>
  <c r="AH4" i="17"/>
  <c r="AH15" i="17"/>
  <c r="AH11" i="17"/>
  <c r="AH7" i="17"/>
  <c r="AH3" i="17"/>
  <c r="AH14" i="17"/>
  <c r="AH10" i="17"/>
  <c r="AH6" i="17"/>
  <c r="AH17" i="17"/>
  <c r="AH13" i="17"/>
  <c r="AH9" i="17"/>
  <c r="AH5" i="17"/>
  <c r="A55" i="15" l="1"/>
  <c r="B54" i="15"/>
  <c r="AB2" i="1"/>
  <c r="T95" i="1" s="1"/>
  <c r="V95" i="1" s="1"/>
  <c r="Y95" i="1" s="1"/>
  <c r="AA95" i="1" s="1"/>
  <c r="A56" i="15" l="1"/>
  <c r="B55" i="15"/>
  <c r="N8" i="15"/>
  <c r="H8" i="15" s="1"/>
  <c r="A57" i="15" l="1"/>
  <c r="B56" i="15"/>
  <c r="AD2" i="1"/>
  <c r="W24" i="1" l="1"/>
  <c r="Y24" i="1" s="1"/>
  <c r="AA24" i="1" s="1"/>
  <c r="W31" i="1"/>
  <c r="Y31" i="1" s="1"/>
  <c r="AA31" i="1" s="1"/>
  <c r="W20" i="1"/>
  <c r="Y20" i="1" s="1"/>
  <c r="AA20" i="1" s="1"/>
  <c r="W52" i="1"/>
  <c r="Y52" i="1" s="1"/>
  <c r="AA52" i="1" s="1"/>
  <c r="W15" i="1"/>
  <c r="Y15" i="1" s="1"/>
  <c r="AA15" i="1" s="1"/>
  <c r="W55" i="1"/>
  <c r="Y55" i="1" s="1"/>
  <c r="AA55" i="1" s="1"/>
  <c r="W56" i="1"/>
  <c r="Y56" i="1" s="1"/>
  <c r="AA56" i="1" s="1"/>
  <c r="W46" i="1"/>
  <c r="Y46" i="1" s="1"/>
  <c r="AA46" i="1" s="1"/>
  <c r="W59" i="1"/>
  <c r="Y59" i="1" s="1"/>
  <c r="AA59" i="1" s="1"/>
  <c r="W58" i="1"/>
  <c r="Y58" i="1" s="1"/>
  <c r="AA58" i="1" s="1"/>
  <c r="A58" i="15"/>
  <c r="B57" i="15"/>
  <c r="W37" i="1"/>
  <c r="Y37" i="1" s="1"/>
  <c r="AA37" i="1" s="1"/>
  <c r="W65" i="1"/>
  <c r="Y65" i="1" s="1"/>
  <c r="AA65" i="1" s="1"/>
  <c r="W22" i="1"/>
  <c r="Y22" i="1" s="1"/>
  <c r="AA22" i="1" s="1"/>
  <c r="W21" i="1"/>
  <c r="Y21" i="1" s="1"/>
  <c r="AA21" i="1" s="1"/>
  <c r="W42" i="1"/>
  <c r="Y42" i="1" s="1"/>
  <c r="AA42" i="1" s="1"/>
  <c r="W26" i="1"/>
  <c r="Y26" i="1" s="1"/>
  <c r="AA26" i="1" s="1"/>
  <c r="W47" i="1"/>
  <c r="Y47" i="1" s="1"/>
  <c r="AA47" i="1" s="1"/>
  <c r="W2" i="1"/>
  <c r="Y2" i="1" s="1"/>
  <c r="AA2" i="1" s="1"/>
  <c r="W93" i="1"/>
  <c r="Y93" i="1" s="1"/>
  <c r="AA93" i="1" s="1"/>
  <c r="W94" i="1"/>
  <c r="Y94" i="1" s="1"/>
  <c r="AA94" i="1" s="1"/>
  <c r="W68" i="1"/>
  <c r="Y68" i="1" s="1"/>
  <c r="AA68" i="1" s="1"/>
  <c r="W10" i="1"/>
  <c r="Y10" i="1" s="1"/>
  <c r="AA10" i="1" s="1"/>
  <c r="W87" i="1"/>
  <c r="Y87" i="1" s="1"/>
  <c r="AA87" i="1" s="1"/>
  <c r="W91" i="1"/>
  <c r="Y91" i="1" s="1"/>
  <c r="AA91" i="1" s="1"/>
  <c r="W88" i="1"/>
  <c r="Y88" i="1" s="1"/>
  <c r="AA88" i="1" s="1"/>
  <c r="W92" i="1"/>
  <c r="Y92" i="1" s="1"/>
  <c r="AA92" i="1" s="1"/>
  <c r="W89" i="1"/>
  <c r="Y89" i="1" s="1"/>
  <c r="AA89" i="1" s="1"/>
  <c r="W86" i="1"/>
  <c r="Y86" i="1" s="1"/>
  <c r="AA86" i="1" s="1"/>
  <c r="W90" i="1"/>
  <c r="Y90" i="1" s="1"/>
  <c r="AA90" i="1" s="1"/>
  <c r="W50" i="1"/>
  <c r="Y50" i="1" s="1"/>
  <c r="AA50" i="1" s="1"/>
  <c r="W27" i="1"/>
  <c r="Y27" i="1" s="1"/>
  <c r="AA27" i="1" s="1"/>
  <c r="W39" i="1"/>
  <c r="Y39" i="1" s="1"/>
  <c r="AA39" i="1" s="1"/>
  <c r="W63" i="1"/>
  <c r="Y63" i="1" s="1"/>
  <c r="AA63" i="1" s="1"/>
  <c r="W79" i="1"/>
  <c r="Y79" i="1" s="1"/>
  <c r="AA79" i="1" s="1"/>
  <c r="W76" i="1"/>
  <c r="Y76" i="1" s="1"/>
  <c r="AA76" i="1" s="1"/>
  <c r="W84" i="1"/>
  <c r="Y84" i="1" s="1"/>
  <c r="AA84" i="1" s="1"/>
  <c r="W57" i="1"/>
  <c r="Y57" i="1" s="1"/>
  <c r="AA57" i="1" s="1"/>
  <c r="W80" i="1"/>
  <c r="Y80" i="1" s="1"/>
  <c r="AA80" i="1" s="1"/>
  <c r="W72" i="1"/>
  <c r="Y72" i="1" s="1"/>
  <c r="AA72" i="1" s="1"/>
  <c r="W8" i="1"/>
  <c r="Y8" i="1" s="1"/>
  <c r="AA8" i="1" s="1"/>
  <c r="W18" i="1"/>
  <c r="Y18" i="1" s="1"/>
  <c r="AA18" i="1" s="1"/>
  <c r="W66" i="1"/>
  <c r="Y66" i="1" s="1"/>
  <c r="AA66" i="1" s="1"/>
  <c r="W77" i="1"/>
  <c r="Y77" i="1" s="1"/>
  <c r="AA77" i="1" s="1"/>
  <c r="W49" i="1"/>
  <c r="Y49" i="1" s="1"/>
  <c r="AA49" i="1" s="1"/>
  <c r="W17" i="1"/>
  <c r="Y17" i="1" s="1"/>
  <c r="AA17" i="1" s="1"/>
  <c r="W41" i="1"/>
  <c r="Y41" i="1" s="1"/>
  <c r="AA41" i="1" s="1"/>
  <c r="W69" i="1"/>
  <c r="Y69" i="1" s="1"/>
  <c r="AA69" i="1" s="1"/>
  <c r="W9" i="1"/>
  <c r="Y9" i="1" s="1"/>
  <c r="AA9" i="1" s="1"/>
  <c r="W7" i="1"/>
  <c r="Y7" i="1" s="1"/>
  <c r="AA7" i="1" s="1"/>
  <c r="W12" i="1"/>
  <c r="Y12" i="1" s="1"/>
  <c r="AA12" i="1" s="1"/>
  <c r="W23" i="1"/>
  <c r="Y23" i="1" s="1"/>
  <c r="AA23" i="1" s="1"/>
  <c r="W11" i="1"/>
  <c r="Y11" i="1" s="1"/>
  <c r="AA11" i="1" s="1"/>
  <c r="W78" i="1"/>
  <c r="Y78" i="1" s="1"/>
  <c r="AA78" i="1" s="1"/>
  <c r="W3" i="1"/>
  <c r="Y3" i="1" s="1"/>
  <c r="AA3" i="1" s="1"/>
  <c r="W29" i="1"/>
  <c r="Y29" i="1" s="1"/>
  <c r="AA29" i="1" s="1"/>
  <c r="W53" i="1"/>
  <c r="Y53" i="1" s="1"/>
  <c r="AA53" i="1" s="1"/>
  <c r="W5" i="1"/>
  <c r="Y5" i="1" s="1"/>
  <c r="AA5" i="1" s="1"/>
  <c r="W48" i="1"/>
  <c r="Y48" i="1" s="1"/>
  <c r="AA48" i="1" s="1"/>
  <c r="W85" i="1"/>
  <c r="Y85" i="1" s="1"/>
  <c r="AA85" i="1" s="1"/>
  <c r="W71" i="1"/>
  <c r="Y71" i="1" s="1"/>
  <c r="AA71" i="1" s="1"/>
  <c r="W6" i="1"/>
  <c r="Y6" i="1" s="1"/>
  <c r="AA6" i="1" s="1"/>
  <c r="W35" i="1"/>
  <c r="Y35" i="1" s="1"/>
  <c r="AA35" i="1" s="1"/>
  <c r="W62" i="1"/>
  <c r="Y62" i="1" s="1"/>
  <c r="AA62" i="1" s="1"/>
  <c r="W75" i="1"/>
  <c r="Y75" i="1" s="1"/>
  <c r="AA75" i="1" s="1"/>
  <c r="W13" i="1"/>
  <c r="Y13" i="1" s="1"/>
  <c r="AA13" i="1" s="1"/>
  <c r="W28" i="1"/>
  <c r="Y28" i="1" s="1"/>
  <c r="AA28" i="1" s="1"/>
  <c r="W45" i="1"/>
  <c r="Y45" i="1" s="1"/>
  <c r="AA45" i="1" s="1"/>
  <c r="W51" i="1"/>
  <c r="Y51" i="1" s="1"/>
  <c r="AA51" i="1" s="1"/>
  <c r="W83" i="1"/>
  <c r="Y83" i="1" s="1"/>
  <c r="AA83" i="1" s="1"/>
  <c r="W19" i="1"/>
  <c r="Y19" i="1" s="1"/>
  <c r="AA19" i="1" s="1"/>
  <c r="W44" i="1"/>
  <c r="Y44" i="1" s="1"/>
  <c r="AA44" i="1" s="1"/>
  <c r="W70" i="1"/>
  <c r="Y70" i="1" s="1"/>
  <c r="AA70" i="1" s="1"/>
  <c r="W36" i="1"/>
  <c r="Y36" i="1" s="1"/>
  <c r="AA36" i="1" s="1"/>
  <c r="W43" i="1"/>
  <c r="Y43" i="1" s="1"/>
  <c r="AA43" i="1" s="1"/>
  <c r="W82" i="1"/>
  <c r="Y82" i="1" s="1"/>
  <c r="AA82" i="1" s="1"/>
  <c r="W30" i="1"/>
  <c r="Y30" i="1" s="1"/>
  <c r="AA30" i="1" s="1"/>
  <c r="W14" i="1"/>
  <c r="Y14" i="1" s="1"/>
  <c r="AA14" i="1" s="1"/>
  <c r="W38" i="1"/>
  <c r="Y38" i="1" s="1"/>
  <c r="AA38" i="1" s="1"/>
  <c r="W34" i="1"/>
  <c r="Y34" i="1" s="1"/>
  <c r="AA34" i="1" s="1"/>
  <c r="W33" i="1"/>
  <c r="Y33" i="1" s="1"/>
  <c r="AA33" i="1" s="1"/>
  <c r="W25" i="1"/>
  <c r="Y25" i="1" s="1"/>
  <c r="AA25" i="1" s="1"/>
  <c r="W4" i="1"/>
  <c r="Y4" i="1" s="1"/>
  <c r="AA4" i="1" s="1"/>
  <c r="W54" i="1"/>
  <c r="Y54" i="1" s="1"/>
  <c r="AA54" i="1" s="1"/>
  <c r="W40" i="1"/>
  <c r="Y40" i="1" s="1"/>
  <c r="AA40" i="1" s="1"/>
  <c r="W16" i="1"/>
  <c r="Y16" i="1" s="1"/>
  <c r="AA16" i="1" s="1"/>
  <c r="W60" i="1"/>
  <c r="Y60" i="1" s="1"/>
  <c r="AA60" i="1" s="1"/>
  <c r="W32" i="1"/>
  <c r="Y32" i="1" s="1"/>
  <c r="AA32" i="1" s="1"/>
  <c r="W73" i="1"/>
  <c r="Y73" i="1" s="1"/>
  <c r="AA73" i="1" s="1"/>
  <c r="W61" i="1"/>
  <c r="Y61" i="1" s="1"/>
  <c r="AA61" i="1" s="1"/>
  <c r="W74" i="1"/>
  <c r="Y74" i="1" s="1"/>
  <c r="AA74" i="1" s="1"/>
  <c r="W64" i="1"/>
  <c r="Y64" i="1" s="1"/>
  <c r="AA64" i="1" s="1"/>
  <c r="W81" i="1"/>
  <c r="Y81" i="1" s="1"/>
  <c r="AA81" i="1" s="1"/>
  <c r="W67" i="1"/>
  <c r="Y67" i="1" s="1"/>
  <c r="AA67" i="1" s="1"/>
  <c r="Z13" i="15"/>
  <c r="L8" i="15" s="1"/>
  <c r="G8" i="15" s="1"/>
  <c r="A59" i="15" l="1"/>
  <c r="B58" i="15"/>
  <c r="D94" i="1"/>
  <c r="D93" i="1"/>
  <c r="D89" i="1"/>
  <c r="D87" i="1"/>
  <c r="D86" i="1"/>
  <c r="D90" i="1"/>
  <c r="D88" i="1"/>
  <c r="D92" i="1"/>
  <c r="D91" i="1"/>
  <c r="D26" i="1"/>
  <c r="A60" i="15" l="1"/>
  <c r="B59" i="15"/>
  <c r="F93" i="1"/>
  <c r="E93" i="1"/>
  <c r="E94" i="1"/>
  <c r="F94" i="1"/>
  <c r="E91" i="1"/>
  <c r="F91" i="1"/>
  <c r="E86" i="1"/>
  <c r="F86" i="1"/>
  <c r="E88" i="1"/>
  <c r="F88" i="1"/>
  <c r="E90" i="1"/>
  <c r="F90" i="1"/>
  <c r="E92" i="1"/>
  <c r="F92" i="1"/>
  <c r="F87" i="1"/>
  <c r="E87" i="1"/>
  <c r="E89" i="1"/>
  <c r="F89" i="1"/>
  <c r="D65" i="1"/>
  <c r="F65" i="1" s="1"/>
  <c r="D51" i="1"/>
  <c r="E51" i="1" s="1"/>
  <c r="D28" i="1"/>
  <c r="F28" i="1" s="1"/>
  <c r="D74" i="1"/>
  <c r="F74" i="1" s="1"/>
  <c r="D11" i="1"/>
  <c r="D38" i="1"/>
  <c r="F38" i="1" s="1"/>
  <c r="D29" i="1"/>
  <c r="E29" i="1" s="1"/>
  <c r="D48" i="1"/>
  <c r="F48" i="1" s="1"/>
  <c r="D32" i="1"/>
  <c r="D4" i="1"/>
  <c r="F4" i="1" s="1"/>
  <c r="D64" i="1"/>
  <c r="F64" i="1" s="1"/>
  <c r="D61" i="1"/>
  <c r="E61" i="1" s="1"/>
  <c r="D31" i="1"/>
  <c r="F31" i="1" s="1"/>
  <c r="D19" i="1"/>
  <c r="F19" i="1" s="1"/>
  <c r="D95" i="1"/>
  <c r="E95" i="1" s="1"/>
  <c r="D30" i="1"/>
  <c r="E30" i="1" s="1"/>
  <c r="D54" i="1"/>
  <c r="D41" i="1"/>
  <c r="F41" i="1" s="1"/>
  <c r="D60" i="1"/>
  <c r="E60" i="1" s="1"/>
  <c r="D9" i="1"/>
  <c r="D20" i="1"/>
  <c r="D69" i="1"/>
  <c r="D27" i="1"/>
  <c r="D63" i="1"/>
  <c r="D80" i="1"/>
  <c r="D52" i="1"/>
  <c r="D43" i="1"/>
  <c r="D25" i="1"/>
  <c r="D56" i="1"/>
  <c r="D18" i="1"/>
  <c r="D66" i="1"/>
  <c r="D82" i="1"/>
  <c r="D72" i="1"/>
  <c r="D23" i="1"/>
  <c r="D75" i="1"/>
  <c r="D83" i="1"/>
  <c r="D50" i="1"/>
  <c r="D55" i="1"/>
  <c r="D13" i="1"/>
  <c r="D46" i="1"/>
  <c r="D36" i="1"/>
  <c r="D40" i="1"/>
  <c r="D53" i="1"/>
  <c r="D47" i="1"/>
  <c r="D5" i="1"/>
  <c r="D62" i="1"/>
  <c r="D35" i="1"/>
  <c r="D2" i="1"/>
  <c r="D76" i="1"/>
  <c r="D39" i="1"/>
  <c r="D70" i="1"/>
  <c r="D79" i="1"/>
  <c r="D24" i="1"/>
  <c r="D14" i="1"/>
  <c r="D85" i="1"/>
  <c r="D7" i="1"/>
  <c r="D6" i="1"/>
  <c r="D81" i="1"/>
  <c r="D77" i="1"/>
  <c r="D3" i="1"/>
  <c r="D33" i="1"/>
  <c r="D78" i="1"/>
  <c r="D68" i="1"/>
  <c r="D73" i="1"/>
  <c r="D16" i="1"/>
  <c r="D10" i="1"/>
  <c r="D45" i="1"/>
  <c r="D17" i="1"/>
  <c r="D84" i="1"/>
  <c r="D57" i="1"/>
  <c r="D34" i="1"/>
  <c r="D15" i="1"/>
  <c r="D59" i="1"/>
  <c r="D67" i="1"/>
  <c r="D12" i="1"/>
  <c r="D44" i="1"/>
  <c r="D71" i="1"/>
  <c r="D22" i="1"/>
  <c r="D58" i="1"/>
  <c r="D21" i="1"/>
  <c r="D8" i="1"/>
  <c r="D42" i="1"/>
  <c r="D37" i="1"/>
  <c r="D49" i="1"/>
  <c r="E11" i="1"/>
  <c r="F11" i="1"/>
  <c r="E31" i="1"/>
  <c r="F54" i="1"/>
  <c r="E54" i="1"/>
  <c r="F26" i="1"/>
  <c r="E26" i="1"/>
  <c r="R13" i="15" l="1"/>
  <c r="F60" i="1"/>
  <c r="E64" i="1"/>
  <c r="F29" i="1"/>
  <c r="F95" i="1"/>
  <c r="E28" i="1"/>
  <c r="L59" i="15"/>
  <c r="G59" i="15" s="1"/>
  <c r="E59" i="15"/>
  <c r="J59" i="15" s="1"/>
  <c r="K59" i="15" s="1"/>
  <c r="N59" i="15"/>
  <c r="H59" i="15" s="1"/>
  <c r="L47" i="15"/>
  <c r="G47" i="15" s="1"/>
  <c r="N47" i="15"/>
  <c r="H47" i="15" s="1"/>
  <c r="E47" i="15"/>
  <c r="J47" i="15" s="1"/>
  <c r="K47" i="15" s="1"/>
  <c r="N48" i="15"/>
  <c r="H48" i="15" s="1"/>
  <c r="E48" i="15"/>
  <c r="J48" i="15" s="1"/>
  <c r="K48" i="15" s="1"/>
  <c r="L48" i="15"/>
  <c r="G48" i="15" s="1"/>
  <c r="N49" i="15"/>
  <c r="H49" i="15" s="1"/>
  <c r="L49" i="15"/>
  <c r="G49" i="15" s="1"/>
  <c r="E49" i="15"/>
  <c r="J49" i="15" s="1"/>
  <c r="K49" i="15" s="1"/>
  <c r="L50" i="15"/>
  <c r="G50" i="15" s="1"/>
  <c r="N50" i="15"/>
  <c r="H50" i="15" s="1"/>
  <c r="E50" i="15"/>
  <c r="J50" i="15" s="1"/>
  <c r="K50" i="15" s="1"/>
  <c r="L51" i="15"/>
  <c r="G51" i="15" s="1"/>
  <c r="N51" i="15"/>
  <c r="H51" i="15" s="1"/>
  <c r="E51" i="15"/>
  <c r="J51" i="15" s="1"/>
  <c r="K51" i="15" s="1"/>
  <c r="L52" i="15"/>
  <c r="G52" i="15" s="1"/>
  <c r="E52" i="15"/>
  <c r="J52" i="15" s="1"/>
  <c r="K52" i="15" s="1"/>
  <c r="N52" i="15"/>
  <c r="H52" i="15" s="1"/>
  <c r="N53" i="15"/>
  <c r="H53" i="15" s="1"/>
  <c r="L53" i="15"/>
  <c r="G53" i="15" s="1"/>
  <c r="E53" i="15"/>
  <c r="J53" i="15" s="1"/>
  <c r="K53" i="15" s="1"/>
  <c r="L54" i="15"/>
  <c r="G54" i="15" s="1"/>
  <c r="N54" i="15"/>
  <c r="H54" i="15" s="1"/>
  <c r="E54" i="15"/>
  <c r="J54" i="15" s="1"/>
  <c r="K54" i="15" s="1"/>
  <c r="N55" i="15"/>
  <c r="H55" i="15" s="1"/>
  <c r="L55" i="15"/>
  <c r="G55" i="15" s="1"/>
  <c r="E55" i="15"/>
  <c r="J55" i="15" s="1"/>
  <c r="K55" i="15" s="1"/>
  <c r="L56" i="15"/>
  <c r="G56" i="15" s="1"/>
  <c r="N56" i="15"/>
  <c r="H56" i="15" s="1"/>
  <c r="E56" i="15"/>
  <c r="J56" i="15" s="1"/>
  <c r="K56" i="15" s="1"/>
  <c r="E57" i="15"/>
  <c r="J57" i="15" s="1"/>
  <c r="K57" i="15" s="1"/>
  <c r="N57" i="15"/>
  <c r="H57" i="15" s="1"/>
  <c r="L57" i="15"/>
  <c r="G57" i="15" s="1"/>
  <c r="L58" i="15"/>
  <c r="G58" i="15" s="1"/>
  <c r="N58" i="15"/>
  <c r="H58" i="15" s="1"/>
  <c r="E58" i="15"/>
  <c r="J58" i="15" s="1"/>
  <c r="K58" i="15" s="1"/>
  <c r="A61" i="15"/>
  <c r="E60" i="15"/>
  <c r="J60" i="15" s="1"/>
  <c r="K60" i="15" s="1"/>
  <c r="N60" i="15"/>
  <c r="H60" i="15" s="1"/>
  <c r="L60" i="15"/>
  <c r="G60" i="15" s="1"/>
  <c r="B60" i="15"/>
  <c r="E19" i="1"/>
  <c r="E41" i="1"/>
  <c r="F51" i="1"/>
  <c r="L18" i="15"/>
  <c r="G18" i="15" s="1"/>
  <c r="E74" i="1"/>
  <c r="F30" i="1"/>
  <c r="E38" i="1"/>
  <c r="E16" i="15"/>
  <c r="J16" i="15" s="1"/>
  <c r="K16" i="15" s="1"/>
  <c r="E17" i="15"/>
  <c r="J17" i="15" s="1"/>
  <c r="K17" i="15" s="1"/>
  <c r="E21" i="15"/>
  <c r="J21" i="15" s="1"/>
  <c r="K21" i="15" s="1"/>
  <c r="E40" i="15"/>
  <c r="J40" i="15" s="1"/>
  <c r="K40" i="15" s="1"/>
  <c r="N35" i="15"/>
  <c r="H35" i="15" s="1"/>
  <c r="E32" i="15"/>
  <c r="J32" i="15" s="1"/>
  <c r="K32" i="15" s="1"/>
  <c r="N15" i="15"/>
  <c r="H15" i="15" s="1"/>
  <c r="N40" i="15"/>
  <c r="H40" i="15" s="1"/>
  <c r="E38" i="15"/>
  <c r="J38" i="15" s="1"/>
  <c r="K38" i="15" s="1"/>
  <c r="L42" i="15"/>
  <c r="G42" i="15" s="1"/>
  <c r="E48" i="1"/>
  <c r="F61" i="1"/>
  <c r="E9" i="1"/>
  <c r="L27" i="15"/>
  <c r="G27" i="15" s="1"/>
  <c r="N22" i="15"/>
  <c r="H22" i="15" s="1"/>
  <c r="N41" i="15"/>
  <c r="H41" i="15" s="1"/>
  <c r="L22" i="15"/>
  <c r="G22" i="15" s="1"/>
  <c r="N32" i="15"/>
  <c r="H32" i="15" s="1"/>
  <c r="F9" i="1"/>
  <c r="N33" i="15"/>
  <c r="H33" i="15" s="1"/>
  <c r="E29" i="15"/>
  <c r="J29" i="15" s="1"/>
  <c r="K29" i="15" s="1"/>
  <c r="N42" i="15"/>
  <c r="H42" i="15" s="1"/>
  <c r="L43" i="15"/>
  <c r="G43" i="15" s="1"/>
  <c r="E41" i="15"/>
  <c r="J41" i="15" s="1"/>
  <c r="K41" i="15" s="1"/>
  <c r="L44" i="15"/>
  <c r="G44" i="15" s="1"/>
  <c r="N28" i="15"/>
  <c r="H28" i="15" s="1"/>
  <c r="L23" i="15"/>
  <c r="G23" i="15" s="1"/>
  <c r="E35" i="15"/>
  <c r="J35" i="15" s="1"/>
  <c r="K35" i="15" s="1"/>
  <c r="L38" i="15"/>
  <c r="G38" i="15" s="1"/>
  <c r="E28" i="15"/>
  <c r="J28" i="15" s="1"/>
  <c r="K28" i="15" s="1"/>
  <c r="N31" i="15"/>
  <c r="H31" i="15" s="1"/>
  <c r="L45" i="15"/>
  <c r="G45" i="15" s="1"/>
  <c r="E42" i="15"/>
  <c r="J42" i="15" s="1"/>
  <c r="K42" i="15" s="1"/>
  <c r="L17" i="15"/>
  <c r="G17" i="15" s="1"/>
  <c r="N37" i="15"/>
  <c r="H37" i="15" s="1"/>
  <c r="E19" i="15"/>
  <c r="J19" i="15" s="1"/>
  <c r="K19" i="15" s="1"/>
  <c r="E43" i="15"/>
  <c r="J43" i="15" s="1"/>
  <c r="K43" i="15" s="1"/>
  <c r="E26" i="15"/>
  <c r="J26" i="15" s="1"/>
  <c r="K26" i="15" s="1"/>
  <c r="N30" i="15"/>
  <c r="H30" i="15" s="1"/>
  <c r="L24" i="15"/>
  <c r="G24" i="15" s="1"/>
  <c r="L25" i="15"/>
  <c r="G25" i="15" s="1"/>
  <c r="L16" i="15"/>
  <c r="G16" i="15" s="1"/>
  <c r="N29" i="15"/>
  <c r="H29" i="15" s="1"/>
  <c r="L32" i="15"/>
  <c r="G32" i="15" s="1"/>
  <c r="N43" i="15"/>
  <c r="H43" i="15" s="1"/>
  <c r="L30" i="15"/>
  <c r="G30" i="15" s="1"/>
  <c r="E4" i="1"/>
  <c r="L34" i="15"/>
  <c r="G34" i="15" s="1"/>
  <c r="E22" i="15"/>
  <c r="J22" i="15" s="1"/>
  <c r="K22" i="15" s="1"/>
  <c r="E65" i="1"/>
  <c r="N45" i="15"/>
  <c r="H45" i="15" s="1"/>
  <c r="L4" i="15"/>
  <c r="E15" i="15"/>
  <c r="J15" i="15" s="1"/>
  <c r="K15" i="15" s="1"/>
  <c r="L15" i="15"/>
  <c r="G15" i="15" s="1"/>
  <c r="E24" i="15"/>
  <c r="J24" i="15" s="1"/>
  <c r="K24" i="15" s="1"/>
  <c r="N23" i="15"/>
  <c r="H23" i="15" s="1"/>
  <c r="N27" i="15"/>
  <c r="H27" i="15" s="1"/>
  <c r="L40" i="15"/>
  <c r="G40" i="15" s="1"/>
  <c r="L33" i="15"/>
  <c r="G33" i="15" s="1"/>
  <c r="E32" i="1"/>
  <c r="F32" i="1"/>
  <c r="E30" i="15"/>
  <c r="J30" i="15" s="1"/>
  <c r="K30" i="15" s="1"/>
  <c r="E45" i="15"/>
  <c r="J45" i="15" s="1"/>
  <c r="K45" i="15" s="1"/>
  <c r="L41" i="15"/>
  <c r="G41" i="15" s="1"/>
  <c r="N44" i="15"/>
  <c r="H44" i="15" s="1"/>
  <c r="L31" i="15"/>
  <c r="G31" i="15" s="1"/>
  <c r="E27" i="15"/>
  <c r="J27" i="15" s="1"/>
  <c r="K27" i="15" s="1"/>
  <c r="L35" i="15"/>
  <c r="G35" i="15" s="1"/>
  <c r="N38" i="15"/>
  <c r="H38" i="15" s="1"/>
  <c r="L39" i="15"/>
  <c r="G39" i="15" s="1"/>
  <c r="E25" i="15"/>
  <c r="J25" i="15" s="1"/>
  <c r="K25" i="15" s="1"/>
  <c r="E23" i="15"/>
  <c r="J23" i="15" s="1"/>
  <c r="K23" i="15" s="1"/>
  <c r="E42" i="1"/>
  <c r="F42" i="1"/>
  <c r="E22" i="1"/>
  <c r="F22" i="1"/>
  <c r="E67" i="1"/>
  <c r="F67" i="1"/>
  <c r="E57" i="1"/>
  <c r="F57" i="1"/>
  <c r="F10" i="1"/>
  <c r="E10" i="1"/>
  <c r="F78" i="1"/>
  <c r="E78" i="1"/>
  <c r="F81" i="1"/>
  <c r="E81" i="1"/>
  <c r="E14" i="1"/>
  <c r="F14" i="1"/>
  <c r="E39" i="1"/>
  <c r="F39" i="1"/>
  <c r="F62" i="1"/>
  <c r="E62" i="1"/>
  <c r="F40" i="1"/>
  <c r="E40" i="1"/>
  <c r="E55" i="1"/>
  <c r="F55" i="1"/>
  <c r="F23" i="1"/>
  <c r="E23" i="1"/>
  <c r="E18" i="1"/>
  <c r="F18" i="1"/>
  <c r="E52" i="1"/>
  <c r="F52" i="1"/>
  <c r="E69" i="1"/>
  <c r="F69" i="1"/>
  <c r="F8" i="1"/>
  <c r="E8" i="1"/>
  <c r="F71" i="1"/>
  <c r="E71" i="1"/>
  <c r="E59" i="1"/>
  <c r="F59" i="1"/>
  <c r="E84" i="1"/>
  <c r="F84" i="1"/>
  <c r="E16" i="1"/>
  <c r="F16" i="1"/>
  <c r="F33" i="1"/>
  <c r="E33" i="1"/>
  <c r="F6" i="1"/>
  <c r="E6" i="1"/>
  <c r="E24" i="1"/>
  <c r="F24" i="1"/>
  <c r="E76" i="1"/>
  <c r="F76" i="1"/>
  <c r="F5" i="1"/>
  <c r="E5" i="1"/>
  <c r="F36" i="1"/>
  <c r="E36" i="1"/>
  <c r="F50" i="1"/>
  <c r="E50" i="1"/>
  <c r="E72" i="1"/>
  <c r="F72" i="1"/>
  <c r="E56" i="1"/>
  <c r="F56" i="1"/>
  <c r="E80" i="1"/>
  <c r="F80" i="1"/>
  <c r="E20" i="1"/>
  <c r="F20" i="1"/>
  <c r="F49" i="1"/>
  <c r="E49" i="1"/>
  <c r="F21" i="1"/>
  <c r="E21" i="1"/>
  <c r="E44" i="1"/>
  <c r="F44" i="1"/>
  <c r="E15" i="1"/>
  <c r="F15" i="1"/>
  <c r="F17" i="1"/>
  <c r="E17" i="1"/>
  <c r="F73" i="1"/>
  <c r="E73" i="1"/>
  <c r="E3" i="1"/>
  <c r="F3" i="1"/>
  <c r="F7" i="1"/>
  <c r="E7" i="1"/>
  <c r="E79" i="1"/>
  <c r="F79" i="1"/>
  <c r="E2" i="1"/>
  <c r="L37" i="15"/>
  <c r="G37" i="15" s="1"/>
  <c r="N20" i="15"/>
  <c r="H20" i="15" s="1"/>
  <c r="N24" i="15"/>
  <c r="H24" i="15" s="1"/>
  <c r="N39" i="15"/>
  <c r="H39" i="15" s="1"/>
  <c r="N21" i="15"/>
  <c r="H21" i="15" s="1"/>
  <c r="L21" i="15"/>
  <c r="G21" i="15" s="1"/>
  <c r="E33" i="15"/>
  <c r="J33" i="15" s="1"/>
  <c r="K33" i="15" s="1"/>
  <c r="E20" i="15"/>
  <c r="J20" i="15" s="1"/>
  <c r="K20" i="15" s="1"/>
  <c r="L36" i="15"/>
  <c r="G36" i="15" s="1"/>
  <c r="E36" i="15"/>
  <c r="J36" i="15" s="1"/>
  <c r="K36" i="15" s="1"/>
  <c r="N34" i="15"/>
  <c r="H34" i="15" s="1"/>
  <c r="E39" i="15"/>
  <c r="J39" i="15" s="1"/>
  <c r="K39" i="15" s="1"/>
  <c r="N26" i="15"/>
  <c r="H26" i="15" s="1"/>
  <c r="E18" i="15"/>
  <c r="J18" i="15" s="1"/>
  <c r="K18" i="15" s="1"/>
  <c r="L29" i="15"/>
  <c r="G29" i="15" s="1"/>
  <c r="N16" i="15"/>
  <c r="H16" i="15" s="1"/>
  <c r="F2" i="1"/>
  <c r="N36" i="15"/>
  <c r="H36" i="15" s="1"/>
  <c r="E37" i="15"/>
  <c r="J37" i="15" s="1"/>
  <c r="K37" i="15" s="1"/>
  <c r="L26" i="15"/>
  <c r="G26" i="15" s="1"/>
  <c r="E44" i="15"/>
  <c r="J44" i="15" s="1"/>
  <c r="K44" i="15" s="1"/>
  <c r="E46" i="15"/>
  <c r="J46" i="15" s="1"/>
  <c r="K46" i="15" s="1"/>
  <c r="L19" i="15"/>
  <c r="G19" i="15" s="1"/>
  <c r="L46" i="15"/>
  <c r="G46" i="15" s="1"/>
  <c r="N19" i="15"/>
  <c r="H19" i="15" s="1"/>
  <c r="E34" i="15"/>
  <c r="J34" i="15" s="1"/>
  <c r="K34" i="15" s="1"/>
  <c r="N46" i="15"/>
  <c r="H46" i="15" s="1"/>
  <c r="E31" i="15"/>
  <c r="J31" i="15" s="1"/>
  <c r="K31" i="15" s="1"/>
  <c r="N17" i="15"/>
  <c r="H17" i="15" s="1"/>
  <c r="L20" i="15"/>
  <c r="G20" i="15" s="1"/>
  <c r="N18" i="15"/>
  <c r="H18" i="15" s="1"/>
  <c r="N25" i="15"/>
  <c r="H25" i="15" s="1"/>
  <c r="L28" i="15"/>
  <c r="G28" i="15" s="1"/>
  <c r="F47" i="1"/>
  <c r="E47" i="1"/>
  <c r="E46" i="1"/>
  <c r="F46" i="1"/>
  <c r="E83" i="1"/>
  <c r="F83" i="1"/>
  <c r="E82" i="1"/>
  <c r="F82" i="1"/>
  <c r="F25" i="1"/>
  <c r="E25" i="1"/>
  <c r="E63" i="1"/>
  <c r="F63" i="1"/>
  <c r="E37" i="1"/>
  <c r="F37" i="1"/>
  <c r="E58" i="1"/>
  <c r="F58" i="1"/>
  <c r="E12" i="1"/>
  <c r="F12" i="1"/>
  <c r="E34" i="1"/>
  <c r="F34" i="1"/>
  <c r="F45" i="1"/>
  <c r="E45" i="1"/>
  <c r="F68" i="1"/>
  <c r="E68" i="1"/>
  <c r="F77" i="1"/>
  <c r="E77" i="1"/>
  <c r="F85" i="1"/>
  <c r="E85" i="1"/>
  <c r="E70" i="1"/>
  <c r="F70" i="1"/>
  <c r="E35" i="1"/>
  <c r="F35" i="1"/>
  <c r="F53" i="1"/>
  <c r="E53" i="1"/>
  <c r="F13" i="1"/>
  <c r="E13" i="1"/>
  <c r="F75" i="1"/>
  <c r="E75" i="1"/>
  <c r="E66" i="1"/>
  <c r="F66" i="1"/>
  <c r="F43" i="1"/>
  <c r="E43" i="1"/>
  <c r="F27" i="1"/>
  <c r="E27" i="1"/>
  <c r="D59" i="15" l="1"/>
  <c r="C49" i="15"/>
  <c r="C52" i="15"/>
  <c r="D56" i="15"/>
  <c r="D51" i="15"/>
  <c r="D48" i="15"/>
  <c r="D47" i="15"/>
  <c r="C47" i="15"/>
  <c r="C51" i="15"/>
  <c r="D54" i="15"/>
  <c r="C48" i="15"/>
  <c r="C50" i="15"/>
  <c r="D50" i="15"/>
  <c r="C58" i="15"/>
  <c r="C57" i="15"/>
  <c r="D52" i="15"/>
  <c r="D60" i="15"/>
  <c r="D58" i="15"/>
  <c r="C60" i="15"/>
  <c r="D57" i="15"/>
  <c r="C59" i="15"/>
  <c r="C55" i="15"/>
  <c r="C53" i="15"/>
  <c r="D49" i="15"/>
  <c r="D53" i="15"/>
  <c r="C56" i="15"/>
  <c r="D55" i="15"/>
  <c r="C54" i="15"/>
  <c r="D27" i="15"/>
  <c r="A62" i="15"/>
  <c r="L61" i="15"/>
  <c r="G61" i="15" s="1"/>
  <c r="B61" i="15"/>
  <c r="E61" i="15"/>
  <c r="J61" i="15" s="1"/>
  <c r="K61" i="15" s="1"/>
  <c r="N61" i="15"/>
  <c r="H61" i="15" s="1"/>
  <c r="D61" i="15"/>
  <c r="C61" i="15"/>
  <c r="D22" i="15"/>
  <c r="C22" i="15"/>
  <c r="C20" i="15"/>
  <c r="C39" i="15"/>
  <c r="D20" i="15"/>
  <c r="D33" i="15"/>
  <c r="C33" i="15"/>
  <c r="C45" i="15"/>
  <c r="D45" i="15"/>
  <c r="C15" i="15"/>
  <c r="D15" i="15"/>
  <c r="D41" i="15"/>
  <c r="C18" i="15"/>
  <c r="D26" i="15"/>
  <c r="D44" i="15"/>
  <c r="D16" i="15"/>
  <c r="C16" i="15"/>
  <c r="D28" i="15"/>
  <c r="C28" i="15"/>
  <c r="C44" i="15"/>
  <c r="D18" i="15"/>
  <c r="C25" i="15"/>
  <c r="D31" i="15"/>
  <c r="D40" i="15"/>
  <c r="C40" i="15"/>
  <c r="C34" i="15"/>
  <c r="C27" i="15"/>
  <c r="D34" i="15"/>
  <c r="D32" i="15"/>
  <c r="S13" i="15"/>
  <c r="M4" i="15" s="1"/>
  <c r="D42" i="15"/>
  <c r="C37" i="15"/>
  <c r="D24" i="15"/>
  <c r="D25" i="15"/>
  <c r="C29" i="15"/>
  <c r="C31" i="15"/>
  <c r="C17" i="15"/>
  <c r="D17" i="15"/>
  <c r="C35" i="15"/>
  <c r="D29" i="15"/>
  <c r="C38" i="15"/>
  <c r="D23" i="15"/>
  <c r="C24" i="15"/>
  <c r="D38" i="15"/>
  <c r="C23" i="15"/>
  <c r="C26" i="15"/>
  <c r="D37" i="15"/>
  <c r="T13" i="15"/>
  <c r="N4" i="15" s="1"/>
  <c r="C32" i="15"/>
  <c r="C36" i="15"/>
  <c r="C42" i="15"/>
  <c r="C43" i="15"/>
  <c r="D46" i="15"/>
  <c r="D43" i="15"/>
  <c r="C41" i="15"/>
  <c r="C46" i="15"/>
  <c r="D36" i="15"/>
  <c r="C19" i="15"/>
  <c r="C21" i="15"/>
  <c r="D30" i="15"/>
  <c r="D35" i="15"/>
  <c r="D19" i="15"/>
  <c r="D21" i="15"/>
  <c r="C30" i="15"/>
  <c r="D39" i="15"/>
  <c r="A63" i="15" l="1"/>
  <c r="E62" i="15"/>
  <c r="J62" i="15" s="1"/>
  <c r="K62" i="15" s="1"/>
  <c r="D62" i="15"/>
  <c r="N62" i="15"/>
  <c r="H62" i="15" s="1"/>
  <c r="C62" i="15"/>
  <c r="L62" i="15"/>
  <c r="G62" i="15" s="1"/>
  <c r="B62" i="15"/>
  <c r="A64" i="15" l="1"/>
  <c r="C63" i="15"/>
  <c r="L63" i="15"/>
  <c r="G63" i="15" s="1"/>
  <c r="B63" i="15"/>
  <c r="E63" i="15"/>
  <c r="J63" i="15" s="1"/>
  <c r="K63" i="15" s="1"/>
  <c r="N63" i="15"/>
  <c r="H63" i="15" s="1"/>
  <c r="D63" i="15"/>
  <c r="A65" i="15" l="1"/>
  <c r="D64" i="15"/>
  <c r="N64" i="15"/>
  <c r="H64" i="15" s="1"/>
  <c r="C64" i="15"/>
  <c r="L64" i="15"/>
  <c r="G64" i="15" s="1"/>
  <c r="B64" i="15"/>
  <c r="E64" i="15"/>
  <c r="J64" i="15" s="1"/>
  <c r="K64" i="15" s="1"/>
  <c r="A66" i="15" l="1"/>
  <c r="N65" i="15"/>
  <c r="H65" i="15" s="1"/>
  <c r="C65" i="15"/>
  <c r="L65" i="15"/>
  <c r="G65" i="15" s="1"/>
  <c r="B65" i="15"/>
  <c r="E65" i="15"/>
  <c r="J65" i="15" s="1"/>
  <c r="K65" i="15" s="1"/>
  <c r="D65" i="15"/>
  <c r="A67" i="15" l="1"/>
  <c r="E66" i="15"/>
  <c r="J66" i="15" s="1"/>
  <c r="K66" i="15" s="1"/>
  <c r="D66" i="15"/>
  <c r="N66" i="15"/>
  <c r="H66" i="15" s="1"/>
  <c r="C66" i="15"/>
  <c r="L66" i="15"/>
  <c r="G66" i="15" s="1"/>
  <c r="B66" i="15"/>
  <c r="A68" i="15" l="1"/>
  <c r="N67" i="15"/>
  <c r="H67" i="15" s="1"/>
  <c r="C67" i="15"/>
  <c r="L67" i="15"/>
  <c r="G67" i="15" s="1"/>
  <c r="B67" i="15"/>
  <c r="E67" i="15"/>
  <c r="J67" i="15" s="1"/>
  <c r="K67" i="15" s="1"/>
  <c r="D67" i="15"/>
  <c r="A69" i="15" l="1"/>
  <c r="E68" i="15"/>
  <c r="J68" i="15" s="1"/>
  <c r="K68" i="15" s="1"/>
  <c r="D68" i="15"/>
  <c r="N68" i="15"/>
  <c r="H68" i="15" s="1"/>
  <c r="C68" i="15"/>
  <c r="L68" i="15"/>
  <c r="G68" i="15" s="1"/>
  <c r="B68" i="15"/>
  <c r="A70" i="15" l="1"/>
  <c r="N69" i="15"/>
  <c r="H69" i="15" s="1"/>
  <c r="C69" i="15"/>
  <c r="L69" i="15"/>
  <c r="G69" i="15" s="1"/>
  <c r="B69" i="15"/>
  <c r="E69" i="15"/>
  <c r="J69" i="15" s="1"/>
  <c r="K69" i="15" s="1"/>
  <c r="D69" i="15"/>
  <c r="A71" i="15" l="1"/>
  <c r="E70" i="15"/>
  <c r="J70" i="15" s="1"/>
  <c r="K70" i="15" s="1"/>
  <c r="D70" i="15"/>
  <c r="N70" i="15"/>
  <c r="H70" i="15" s="1"/>
  <c r="C70" i="15"/>
  <c r="L70" i="15"/>
  <c r="G70" i="15" s="1"/>
  <c r="B70" i="15"/>
  <c r="A72" i="15" l="1"/>
  <c r="N71" i="15"/>
  <c r="H71" i="15" s="1"/>
  <c r="C71" i="15"/>
  <c r="L71" i="15"/>
  <c r="G71" i="15" s="1"/>
  <c r="B71" i="15"/>
  <c r="E71" i="15"/>
  <c r="J71" i="15" s="1"/>
  <c r="K71" i="15" s="1"/>
  <c r="D71" i="15"/>
  <c r="E72" i="15" l="1"/>
  <c r="J72" i="15" s="1"/>
  <c r="K72" i="15" s="1"/>
  <c r="D72" i="15"/>
  <c r="N72" i="15"/>
  <c r="H72" i="15" s="1"/>
  <c r="C72" i="15"/>
  <c r="L72" i="15"/>
  <c r="G72" i="15" s="1"/>
  <c r="B72" i="15"/>
</calcChain>
</file>

<file path=xl/sharedStrings.xml><?xml version="1.0" encoding="utf-8"?>
<sst xmlns="http://schemas.openxmlformats.org/spreadsheetml/2006/main" count="1931" uniqueCount="233">
  <si>
    <t>Score</t>
  </si>
  <si>
    <t>Diff</t>
  </si>
  <si>
    <t>Total</t>
  </si>
  <si>
    <t>Current Rank</t>
  </si>
  <si>
    <t>NewTotal</t>
  </si>
  <si>
    <t>New Diff</t>
  </si>
  <si>
    <t>New Rank</t>
  </si>
  <si>
    <t>Home Team</t>
  </si>
  <si>
    <t>Away Team</t>
  </si>
  <si>
    <t>Winner</t>
  </si>
  <si>
    <t>Win Count</t>
  </si>
  <si>
    <t>Spec Count</t>
  </si>
  <si>
    <t>Spec L</t>
  </si>
  <si>
    <t>Movement</t>
  </si>
  <si>
    <t>p</t>
  </si>
  <si>
    <t>q</t>
  </si>
  <si>
    <t>u</t>
  </si>
  <si>
    <t>Places</t>
  </si>
  <si>
    <t>+/- Score</t>
  </si>
  <si>
    <t>Perfect</t>
  </si>
  <si>
    <t>Standout</t>
  </si>
  <si>
    <t>Main Competition</t>
  </si>
  <si>
    <t>Input Scores</t>
  </si>
  <si>
    <t>Total Tipsters:</t>
  </si>
  <si>
    <t>Tips Received:</t>
  </si>
  <si>
    <t>norm h</t>
  </si>
  <si>
    <t>norm a</t>
  </si>
  <si>
    <t>spec h</t>
  </si>
  <si>
    <t>spec a</t>
  </si>
  <si>
    <t>h%</t>
  </si>
  <si>
    <t>a%</t>
  </si>
  <si>
    <t>h spec%</t>
  </si>
  <si>
    <t>a spec%</t>
  </si>
  <si>
    <t>h</t>
  </si>
  <si>
    <t>a</t>
  </si>
  <si>
    <t>Standouts:</t>
  </si>
  <si>
    <t>Select Chart Type:</t>
  </si>
  <si>
    <t>Results Calculator</t>
  </si>
  <si>
    <t>Perfect Round</t>
  </si>
  <si>
    <t>o/s spec</t>
  </si>
  <si>
    <t>spec corr</t>
  </si>
  <si>
    <t>Total Tipsters</t>
  </si>
  <si>
    <t>spec incorr</t>
  </si>
  <si>
    <t>Games</t>
  </si>
  <si>
    <t>Total Recd</t>
  </si>
  <si>
    <t>Game Stats</t>
  </si>
  <si>
    <t>RD</t>
  </si>
  <si>
    <t>Spec Recd</t>
  </si>
  <si>
    <t>Standouts</t>
  </si>
  <si>
    <t>Listbox</t>
  </si>
  <si>
    <t>Recd</t>
  </si>
  <si>
    <t>S</t>
  </si>
  <si>
    <t>perfect</t>
  </si>
  <si>
    <t>Run Tot</t>
  </si>
  <si>
    <t>Select Winner - Game 1:</t>
  </si>
  <si>
    <t>Select Winner - Game 2:</t>
  </si>
  <si>
    <t>Select Winner - Game 3:</t>
  </si>
  <si>
    <t>Select Winner - Game 4:</t>
  </si>
  <si>
    <t>New Rank Score</t>
  </si>
  <si>
    <t>Current Rank Score</t>
  </si>
  <si>
    <t>Player ID</t>
  </si>
  <si>
    <t>Player</t>
  </si>
  <si>
    <t>IF(AM4="","",BT4+(BU4/100000)+(AM4/1000000000))</t>
  </si>
  <si>
    <t>Missing Tips Score</t>
  </si>
  <si>
    <t>Missing Score Diff</t>
  </si>
  <si>
    <t>Min Score</t>
  </si>
  <si>
    <t>Min Diff</t>
  </si>
  <si>
    <t>Ranking</t>
  </si>
  <si>
    <t>This Round</t>
  </si>
  <si>
    <t>Tipster</t>
  </si>
  <si>
    <t>ü</t>
  </si>
  <si>
    <t>û</t>
  </si>
  <si>
    <t>New Score</t>
  </si>
  <si>
    <t>+ Diff</t>
  </si>
  <si>
    <t>My Stats</t>
  </si>
  <si>
    <t>Select Tipster</t>
  </si>
  <si>
    <t>Draw</t>
  </si>
  <si>
    <t>Stats Score</t>
  </si>
  <si>
    <t>Stats S/out</t>
  </si>
  <si>
    <t>Spec Game</t>
  </si>
  <si>
    <t>O/S Games</t>
  </si>
  <si>
    <t>O/S S/out</t>
  </si>
  <si>
    <t>Perfect Rd</t>
  </si>
  <si>
    <t>Total Score</t>
  </si>
  <si>
    <t/>
  </si>
  <si>
    <t>Rank</t>
  </si>
  <si>
    <t>D/Down Id</t>
  </si>
  <si>
    <t>Positions</t>
  </si>
  <si>
    <t>Name</t>
  </si>
  <si>
    <t>Scroll bar</t>
  </si>
  <si>
    <t>H</t>
  </si>
  <si>
    <t>I</t>
  </si>
  <si>
    <t>D</t>
  </si>
  <si>
    <t>E</t>
  </si>
  <si>
    <t>C</t>
  </si>
  <si>
    <t>O</t>
  </si>
  <si>
    <t>L</t>
  </si>
  <si>
    <t>U</t>
  </si>
  <si>
    <t>M</t>
  </si>
  <si>
    <t>N</t>
  </si>
  <si>
    <t>T</t>
  </si>
  <si>
    <t xml:space="preserve"> </t>
  </si>
  <si>
    <t>Game</t>
  </si>
  <si>
    <t>Reset Protection</t>
  </si>
  <si>
    <t>Calc Reset</t>
  </si>
  <si>
    <t>Tips Rec'd</t>
  </si>
  <si>
    <t>Game1 Col</t>
  </si>
  <si>
    <t>Game2 Col</t>
  </si>
  <si>
    <t>Game3 Col</t>
  </si>
  <si>
    <t>Game4 Col</t>
  </si>
  <si>
    <t>Game5 Col</t>
  </si>
  <si>
    <t>Game6 Col</t>
  </si>
  <si>
    <t>Game7 Col</t>
  </si>
  <si>
    <t>Game 8 Col</t>
  </si>
  <si>
    <t>Special</t>
  </si>
  <si>
    <t>Ladder</t>
  </si>
  <si>
    <t>Differential</t>
  </si>
  <si>
    <t>Home</t>
  </si>
  <si>
    <t>Away</t>
  </si>
  <si>
    <t>Details</t>
  </si>
  <si>
    <t>Round</t>
  </si>
  <si>
    <t>Panthers</t>
  </si>
  <si>
    <t>Dragons</t>
  </si>
  <si>
    <t>Sharks</t>
  </si>
  <si>
    <t>Broncos</t>
  </si>
  <si>
    <t>Storm</t>
  </si>
  <si>
    <t>Sea Eagles</t>
  </si>
  <si>
    <t>Rabbitohs</t>
  </si>
  <si>
    <t>Cowboys</t>
  </si>
  <si>
    <t>Raiders</t>
  </si>
  <si>
    <t>Warriors</t>
  </si>
  <si>
    <t>Bulldogs</t>
  </si>
  <si>
    <t>Wests Tigers</t>
  </si>
  <si>
    <t>Sunday 4:00PM AEST</t>
  </si>
  <si>
    <t>Black Cat</t>
  </si>
  <si>
    <t>Bruisers</t>
  </si>
  <si>
    <t>Fire</t>
  </si>
  <si>
    <t>Kane G</t>
  </si>
  <si>
    <t>Mr Taylor</t>
  </si>
  <si>
    <t>Murch</t>
  </si>
  <si>
    <t>Plugger</t>
  </si>
  <si>
    <t>Ross Hickman</t>
  </si>
  <si>
    <t>sculkin</t>
  </si>
  <si>
    <t>Smog</t>
  </si>
  <si>
    <t>The Creator</t>
  </si>
  <si>
    <t>U_J</t>
  </si>
  <si>
    <t>Eels</t>
  </si>
  <si>
    <t>Roosters</t>
  </si>
  <si>
    <t>26.7</t>
  </si>
  <si>
    <t>Live Ladder</t>
  </si>
  <si>
    <t>9986</t>
  </si>
  <si>
    <t>Adel Messih</t>
  </si>
  <si>
    <t>Bart Simpson</t>
  </si>
  <si>
    <t>Big Moose</t>
  </si>
  <si>
    <t>BillyB</t>
  </si>
  <si>
    <t>blakey94</t>
  </si>
  <si>
    <t>Bridie</t>
  </si>
  <si>
    <t>Carlos</t>
  </si>
  <si>
    <t>Chunka</t>
  </si>
  <si>
    <t>Craig Young's Love Child</t>
  </si>
  <si>
    <t>Cruella</t>
  </si>
  <si>
    <t>Fouad Khochaiche</t>
  </si>
  <si>
    <t>gdadisho</t>
  </si>
  <si>
    <t>Guru2810</t>
  </si>
  <si>
    <t>I miss Benji</t>
  </si>
  <si>
    <t>isha68</t>
  </si>
  <si>
    <t>iTerry</t>
  </si>
  <si>
    <t>Krusty</t>
  </si>
  <si>
    <t>Lou</t>
  </si>
  <si>
    <t>Lukebrooksbiggestfan</t>
  </si>
  <si>
    <t>Magnum</t>
  </si>
  <si>
    <t>Matt Brownie</t>
  </si>
  <si>
    <t>MB</t>
  </si>
  <si>
    <t>Micrider</t>
  </si>
  <si>
    <t>MJP181</t>
  </si>
  <si>
    <t>MLC</t>
  </si>
  <si>
    <t>MR. TAYLOR</t>
  </si>
  <si>
    <t>murch</t>
  </si>
  <si>
    <t>Neville</t>
  </si>
  <si>
    <t>NotLast</t>
  </si>
  <si>
    <t>Pablo</t>
  </si>
  <si>
    <t>Panthers29</t>
  </si>
  <si>
    <t>Robert Cook</t>
  </si>
  <si>
    <t>Rossco the Pom</t>
  </si>
  <si>
    <t>Runner</t>
  </si>
  <si>
    <t>Seano</t>
  </si>
  <si>
    <t>Shagger</t>
  </si>
  <si>
    <t>SMOG</t>
  </si>
  <si>
    <t>Splinter</t>
  </si>
  <si>
    <t>Stallion</t>
  </si>
  <si>
    <t>TheZipZipMan</t>
  </si>
  <si>
    <t>Timbo</t>
  </si>
  <si>
    <t>UpthePamfers</t>
  </si>
  <si>
    <t>Westy</t>
  </si>
  <si>
    <t>Wiley C</t>
  </si>
  <si>
    <t>Yackas</t>
  </si>
  <si>
    <t>***Footy Tipper***</t>
  </si>
  <si>
    <t>Game 1</t>
  </si>
  <si>
    <t>Game 2</t>
  </si>
  <si>
    <t>Game 3</t>
  </si>
  <si>
    <t>Game 4</t>
  </si>
  <si>
    <t>Game 5</t>
  </si>
  <si>
    <t>Game 6</t>
  </si>
  <si>
    <t>Game 7</t>
  </si>
  <si>
    <t>Game 8</t>
  </si>
  <si>
    <t>VLOOKUP(P13,Engine!A:H,8,FALSE)</t>
  </si>
  <si>
    <t>Drop Down Id</t>
  </si>
  <si>
    <t>All Tipsters</t>
  </si>
  <si>
    <t>3.1</t>
  </si>
  <si>
    <t>Thu 8:00pm AEST</t>
  </si>
  <si>
    <t>Dolphins</t>
  </si>
  <si>
    <t>Titans</t>
  </si>
  <si>
    <t>3.2</t>
  </si>
  <si>
    <t>Fri 6:00pm AEST</t>
  </si>
  <si>
    <t>3.3</t>
  </si>
  <si>
    <t>Fri 8:00pm AEST</t>
  </si>
  <si>
    <t>Active Players</t>
  </si>
  <si>
    <t>3.4</t>
  </si>
  <si>
    <t>Knights</t>
  </si>
  <si>
    <t>Sat 3:00pm AEST</t>
  </si>
  <si>
    <t>3.5</t>
  </si>
  <si>
    <t>Sat 5:30pm AEST</t>
  </si>
  <si>
    <t>3.6</t>
  </si>
  <si>
    <t>Sat 7:30pm AEST</t>
  </si>
  <si>
    <t>3.7</t>
  </si>
  <si>
    <t>Sun 4:05pm AEST</t>
  </si>
  <si>
    <t>3.8</t>
  </si>
  <si>
    <t>Sun 6:15pm AEST</t>
  </si>
  <si>
    <t>Control</t>
  </si>
  <si>
    <t>Ramin Dadisho</t>
  </si>
  <si>
    <t>Slave1</t>
  </si>
  <si>
    <t>ZZZZZZ Suspend</t>
  </si>
  <si>
    <t>No Tips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</si>
</sst>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5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name val="Wingdings 3"/>
      <family val="1"/>
      <charset val="2"/>
    </font>
    <font>
      <sz val="11"/>
      <color theme="0"/>
      <name val="Wingdings 3"/>
      <family val="1"/>
      <charset val="2"/>
    </font>
    <font>
      <b/>
      <sz val="10"/>
      <name val="Verdan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Verdana"/>
      <family val="2"/>
    </font>
    <font>
      <sz val="10"/>
      <name val="Verdana"/>
      <family val="2"/>
    </font>
    <font>
      <b/>
      <sz val="10"/>
      <color indexed="9"/>
      <name val="Arial"/>
      <family val="2"/>
    </font>
    <font>
      <sz val="8"/>
      <name val="Arial"/>
      <family val="2"/>
    </font>
    <font>
      <sz val="10"/>
      <color indexed="10"/>
      <name val="Arial"/>
      <family val="2"/>
    </font>
    <font>
      <b/>
      <sz val="10"/>
      <name val="Arial"/>
      <family val="2"/>
    </font>
    <font>
      <b/>
      <sz val="10"/>
      <color indexed="10"/>
      <name val="Verdana"/>
      <family val="2"/>
    </font>
    <font>
      <b/>
      <sz val="8"/>
      <name val="Arial"/>
      <family val="2"/>
    </font>
    <font>
      <sz val="11"/>
      <name val="Calibri"/>
      <family val="2"/>
      <scheme val="minor"/>
    </font>
    <font>
      <b/>
      <sz val="11"/>
      <color rgb="FF00B050"/>
      <name val="Wingdings"/>
      <charset val="2"/>
    </font>
    <font>
      <b/>
      <sz val="11"/>
      <name val="Arial"/>
      <family val="2"/>
    </font>
    <font>
      <sz val="11"/>
      <color rgb="FF9C0006"/>
      <name val="Calibri"/>
      <family val="2"/>
      <scheme val="minor"/>
    </font>
    <font>
      <sz val="11"/>
      <color rgb="FFFF0000"/>
      <name val="Calibri"/>
      <family val="2"/>
    </font>
    <font>
      <sz val="10"/>
      <color rgb="FFFF0000"/>
      <name val="Arial"/>
      <family val="2"/>
    </font>
    <font>
      <sz val="10"/>
      <color theme="0"/>
      <name val="Arial"/>
      <family val="2"/>
    </font>
    <font>
      <sz val="11"/>
      <color theme="0"/>
      <name val="Calibri"/>
      <family val="2"/>
    </font>
    <font>
      <sz val="11"/>
      <color rgb="FFFF0000"/>
      <name val="Calibri"/>
      <family val="2"/>
      <scheme val="minor"/>
    </font>
    <font>
      <b/>
      <sz val="11"/>
      <color rgb="FFFF0000"/>
      <name val="Calibri"/>
      <family val="2"/>
      <scheme val="minor"/>
    </font>
    <font>
      <b/>
      <sz val="8"/>
      <color rgb="FFFF0000"/>
      <name val="Arial"/>
      <family val="2"/>
    </font>
    <font>
      <b/>
      <sz val="11"/>
      <name val="Calibri"/>
      <family val="2"/>
      <scheme val="minor"/>
    </font>
    <font>
      <b/>
      <sz val="11"/>
      <color theme="0"/>
      <name val="Wingdings 3"/>
      <family val="1"/>
      <charset val="2"/>
    </font>
    <font>
      <sz val="11"/>
      <name val="Wingdings"/>
      <charset val="2"/>
    </font>
    <font>
      <sz val="10"/>
      <name val="Arial"/>
      <family val="2"/>
    </font>
    <font>
      <b/>
      <sz val="10"/>
      <color theme="0"/>
      <name val="Arial"/>
      <family val="2"/>
    </font>
    <font>
      <sz val="10"/>
      <color rgb="FFFF0000"/>
      <name val="Verdana"/>
      <family val="2"/>
    </font>
    <font>
      <sz val="8"/>
      <name val="Calibri"/>
      <family val="2"/>
      <scheme val="minor"/>
    </font>
    <font>
      <b/>
      <sz val="16"/>
      <color theme="1"/>
      <name val="Calibri"/>
      <family val="2"/>
      <scheme val="minor"/>
    </font>
  </fonts>
  <fills count="37">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
      <patternFill patternType="solid">
        <fgColor indexed="31"/>
        <bgColor indexed="64"/>
      </patternFill>
    </fill>
    <fill>
      <patternFill patternType="solid">
        <fgColor rgb="FFFFFF00"/>
        <bgColor indexed="64"/>
      </patternFill>
    </fill>
    <fill>
      <patternFill patternType="solid">
        <fgColor rgb="FFFFC7CE"/>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theme="8" tint="0.79998168889431442"/>
      </patternFill>
    </fill>
    <fill>
      <patternFill patternType="solid">
        <fgColor theme="4"/>
        <bgColor theme="8"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8" tint="0.39997558519241921"/>
      </top>
      <bottom/>
      <diagonal/>
    </border>
  </borders>
  <cellStyleXfs count="54">
    <xf numFmtId="0" fontId="0" fillId="0" borderId="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2" applyNumberFormat="0" applyAlignment="0" applyProtection="0"/>
    <xf numFmtId="0" fontId="13" fillId="23" borderId="3" applyNumberFormat="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9" borderId="2" applyNumberFormat="0" applyAlignment="0" applyProtection="0"/>
    <xf numFmtId="0" fontId="20" fillId="0" borderId="7" applyNumberFormat="0" applyFill="0" applyAlignment="0" applyProtection="0"/>
    <xf numFmtId="0" fontId="21" fillId="24" borderId="0" applyNumberFormat="0" applyBorder="0" applyAlignment="0" applyProtection="0"/>
    <xf numFmtId="0" fontId="4" fillId="0" borderId="0"/>
    <xf numFmtId="0" fontId="4" fillId="0" borderId="0"/>
    <xf numFmtId="0" fontId="4" fillId="0" borderId="0"/>
    <xf numFmtId="0" fontId="4" fillId="0" borderId="0"/>
    <xf numFmtId="0" fontId="9" fillId="0" borderId="0"/>
    <xf numFmtId="0" fontId="9" fillId="0" borderId="0"/>
    <xf numFmtId="0" fontId="4" fillId="25" borderId="8" applyNumberFormat="0" applyFont="0" applyAlignment="0" applyProtection="0"/>
    <xf numFmtId="0" fontId="22" fillId="22"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37" fillId="31" borderId="0" applyNumberFormat="0" applyBorder="0" applyAlignment="0" applyProtection="0"/>
    <xf numFmtId="0" fontId="48" fillId="0" borderId="0"/>
  </cellStyleXfs>
  <cellXfs count="149">
    <xf numFmtId="0" fontId="0" fillId="0" borderId="0" xfId="0"/>
    <xf numFmtId="0" fontId="0" fillId="0" borderId="0" xfId="0" applyAlignment="1">
      <alignment horizontal="center"/>
    </xf>
    <xf numFmtId="0" fontId="4" fillId="0" borderId="0" xfId="0" applyFont="1" applyAlignment="1" applyProtection="1">
      <alignment horizontal="center"/>
      <protection hidden="1"/>
    </xf>
    <xf numFmtId="0" fontId="5" fillId="0" borderId="0" xfId="0" applyFont="1"/>
    <xf numFmtId="9" fontId="4" fillId="0" borderId="15" xfId="51" applyBorder="1" applyAlignment="1">
      <alignment horizontal="left"/>
    </xf>
    <xf numFmtId="0" fontId="34" fillId="0" borderId="0" xfId="0" applyFont="1"/>
    <xf numFmtId="0" fontId="34" fillId="0" borderId="0" xfId="0" applyFont="1" applyAlignment="1">
      <alignment horizontal="center"/>
    </xf>
    <xf numFmtId="0" fontId="31" fillId="29" borderId="21" xfId="0" applyFont="1" applyFill="1" applyBorder="1" applyAlignment="1" applyProtection="1">
      <alignment horizontal="center" vertical="center"/>
      <protection hidden="1"/>
    </xf>
    <xf numFmtId="0" fontId="4" fillId="29" borderId="21"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0" fillId="30" borderId="0" xfId="0" applyFill="1"/>
    <xf numFmtId="0" fontId="4" fillId="30" borderId="0" xfId="0" applyFont="1" applyFill="1" applyAlignment="1" applyProtection="1">
      <alignment horizontal="center"/>
      <protection hidden="1"/>
    </xf>
    <xf numFmtId="0" fontId="4" fillId="0" borderId="0" xfId="38"/>
    <xf numFmtId="0" fontId="38" fillId="0" borderId="0" xfId="52" applyFont="1" applyFill="1"/>
    <xf numFmtId="0" fontId="39" fillId="0" borderId="0" xfId="38" applyFont="1"/>
    <xf numFmtId="0" fontId="4" fillId="0" borderId="0" xfId="38" applyAlignment="1">
      <alignment horizontal="left"/>
    </xf>
    <xf numFmtId="0" fontId="4" fillId="0" borderId="0" xfId="38" applyAlignment="1">
      <alignment horizontal="center"/>
    </xf>
    <xf numFmtId="0" fontId="4" fillId="0" borderId="0" xfId="38" applyProtection="1">
      <protection hidden="1"/>
    </xf>
    <xf numFmtId="0" fontId="4" fillId="0" borderId="0" xfId="38" applyAlignment="1" applyProtection="1">
      <alignment horizontal="left"/>
      <protection hidden="1"/>
    </xf>
    <xf numFmtId="0" fontId="27" fillId="0" borderId="0" xfId="38" applyFont="1" applyProtection="1">
      <protection hidden="1"/>
    </xf>
    <xf numFmtId="0" fontId="40" fillId="0" borderId="0" xfId="38" applyFont="1" applyAlignment="1">
      <alignment horizontal="left"/>
    </xf>
    <xf numFmtId="0" fontId="4" fillId="0" borderId="18" xfId="38" applyBorder="1"/>
    <xf numFmtId="0" fontId="4" fillId="0" borderId="18" xfId="38" applyBorder="1" applyAlignment="1">
      <alignment horizontal="left"/>
    </xf>
    <xf numFmtId="0" fontId="4" fillId="0" borderId="18" xfId="38" applyBorder="1" applyProtection="1">
      <protection hidden="1"/>
    </xf>
    <xf numFmtId="0" fontId="4" fillId="0" borderId="17" xfId="38" applyBorder="1"/>
    <xf numFmtId="0" fontId="4" fillId="0" borderId="14" xfId="38" applyBorder="1"/>
    <xf numFmtId="0" fontId="4" fillId="26" borderId="0" xfId="38" applyFill="1" applyAlignment="1">
      <alignment horizontal="left"/>
    </xf>
    <xf numFmtId="0" fontId="4" fillId="26" borderId="0" xfId="38" applyFill="1"/>
    <xf numFmtId="0" fontId="4" fillId="0" borderId="1" xfId="38" applyBorder="1" applyAlignment="1" applyProtection="1">
      <alignment horizontal="center"/>
      <protection locked="0" hidden="1"/>
    </xf>
    <xf numFmtId="0" fontId="28" fillId="26" borderId="0" xfId="38" applyFont="1" applyFill="1" applyAlignment="1">
      <alignment horizontal="center"/>
    </xf>
    <xf numFmtId="0" fontId="27" fillId="0" borderId="0" xfId="38" applyFont="1" applyAlignment="1">
      <alignment horizontal="center"/>
    </xf>
    <xf numFmtId="0" fontId="27" fillId="0" borderId="0" xfId="38" applyFont="1" applyAlignment="1">
      <alignment horizontal="left"/>
    </xf>
    <xf numFmtId="0" fontId="28" fillId="26" borderId="0" xfId="38" applyFont="1" applyFill="1" applyAlignment="1">
      <alignment horizontal="left"/>
    </xf>
    <xf numFmtId="0" fontId="4" fillId="0" borderId="0" xfId="38" applyAlignment="1" applyProtection="1">
      <alignment horizontal="center"/>
      <protection hidden="1"/>
    </xf>
    <xf numFmtId="0" fontId="4" fillId="0" borderId="14" xfId="38" applyBorder="1" applyAlignment="1">
      <alignment horizontal="center"/>
    </xf>
    <xf numFmtId="0" fontId="27" fillId="0" borderId="0" xfId="38" applyFont="1" applyAlignment="1" applyProtection="1">
      <alignment horizontal="center"/>
      <protection hidden="1"/>
    </xf>
    <xf numFmtId="0" fontId="32" fillId="0" borderId="0" xfId="38" applyFont="1" applyAlignment="1" applyProtection="1">
      <alignment horizontal="left"/>
      <protection hidden="1"/>
    </xf>
    <xf numFmtId="0" fontId="27" fillId="28" borderId="0" xfId="38" applyFont="1" applyFill="1" applyAlignment="1" applyProtection="1">
      <alignment horizontal="center"/>
      <protection hidden="1"/>
    </xf>
    <xf numFmtId="0" fontId="32" fillId="28" borderId="0" xfId="38" applyFont="1" applyFill="1" applyAlignment="1" applyProtection="1">
      <alignment horizontal="left"/>
      <protection hidden="1"/>
    </xf>
    <xf numFmtId="0" fontId="7" fillId="28" borderId="0" xfId="38" applyFont="1" applyFill="1" applyAlignment="1" applyProtection="1">
      <alignment horizontal="left"/>
      <protection hidden="1"/>
    </xf>
    <xf numFmtId="9" fontId="28" fillId="26" borderId="0" xfId="38" applyNumberFormat="1" applyFont="1" applyFill="1"/>
    <xf numFmtId="0" fontId="31" fillId="0" borderId="0" xfId="38" applyFont="1" applyAlignment="1" applyProtection="1">
      <alignment horizontal="left"/>
      <protection hidden="1"/>
    </xf>
    <xf numFmtId="0" fontId="4" fillId="28" borderId="0" xfId="38" applyFill="1" applyProtection="1">
      <protection hidden="1"/>
    </xf>
    <xf numFmtId="0" fontId="31" fillId="28" borderId="0" xfId="38" applyFont="1" applyFill="1" applyAlignment="1" applyProtection="1">
      <alignment horizontal="left"/>
      <protection hidden="1"/>
    </xf>
    <xf numFmtId="0" fontId="7" fillId="0" borderId="0" xfId="38" applyFont="1" applyAlignment="1" applyProtection="1">
      <alignment horizontal="left"/>
      <protection hidden="1"/>
    </xf>
    <xf numFmtId="0" fontId="7" fillId="27" borderId="0" xfId="38" applyFont="1" applyFill="1" applyAlignment="1" applyProtection="1">
      <alignment horizontal="left"/>
      <protection hidden="1"/>
    </xf>
    <xf numFmtId="0" fontId="31" fillId="27" borderId="14" xfId="38" applyFont="1" applyFill="1" applyBorder="1"/>
    <xf numFmtId="0" fontId="27" fillId="0" borderId="0" xfId="38" applyFont="1" applyAlignment="1" applyProtection="1">
      <alignment horizontal="left"/>
      <protection hidden="1"/>
    </xf>
    <xf numFmtId="0" fontId="4" fillId="0" borderId="15" xfId="38" applyBorder="1"/>
    <xf numFmtId="0" fontId="29" fillId="26" borderId="0" xfId="38" applyFont="1" applyFill="1" applyAlignment="1">
      <alignment horizontal="center"/>
    </xf>
    <xf numFmtId="0" fontId="29" fillId="0" borderId="0" xfId="38" applyFont="1" applyAlignment="1">
      <alignment horizontal="center"/>
    </xf>
    <xf numFmtId="0" fontId="29" fillId="26" borderId="0" xfId="38" applyFont="1" applyFill="1" applyAlignment="1">
      <alignment horizontal="left"/>
    </xf>
    <xf numFmtId="0" fontId="4" fillId="0" borderId="13" xfId="38" applyBorder="1"/>
    <xf numFmtId="0" fontId="40" fillId="0" borderId="0" xfId="38" applyFont="1"/>
    <xf numFmtId="0" fontId="41" fillId="0" borderId="0" xfId="52" applyFont="1" applyFill="1"/>
    <xf numFmtId="0" fontId="40" fillId="0" borderId="14" xfId="38" applyFont="1" applyBorder="1" applyAlignment="1">
      <alignment horizontal="center"/>
    </xf>
    <xf numFmtId="0" fontId="40" fillId="0" borderId="14" xfId="38" applyFont="1" applyBorder="1"/>
    <xf numFmtId="0" fontId="40" fillId="0" borderId="0" xfId="38" applyFont="1" applyProtection="1">
      <protection hidden="1"/>
    </xf>
    <xf numFmtId="0" fontId="3" fillId="0" borderId="0" xfId="0" applyFont="1" applyProtection="1">
      <protection hidden="1"/>
    </xf>
    <xf numFmtId="0" fontId="2" fillId="0" borderId="0" xfId="0" applyFont="1" applyAlignment="1" applyProtection="1">
      <alignment horizontal="left"/>
      <protection hidden="1"/>
    </xf>
    <xf numFmtId="0" fontId="0" fillId="0" borderId="0" xfId="0" applyAlignment="1" applyProtection="1">
      <alignment horizontal="center"/>
      <protection hidden="1"/>
    </xf>
    <xf numFmtId="0" fontId="0" fillId="0" borderId="0" xfId="0" applyProtection="1">
      <protection hidden="1"/>
    </xf>
    <xf numFmtId="0" fontId="33" fillId="0" borderId="0" xfId="0" applyFont="1" applyAlignment="1" applyProtection="1">
      <alignment horizontal="center" vertical="top"/>
      <protection hidden="1"/>
    </xf>
    <xf numFmtId="0" fontId="1" fillId="2" borderId="0" xfId="0" applyFont="1" applyFill="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33" fillId="0" borderId="0" xfId="0" quotePrefix="1" applyFont="1" applyAlignment="1" applyProtection="1">
      <alignment horizontal="center" vertical="top"/>
      <protection hidden="1"/>
    </xf>
    <xf numFmtId="0" fontId="36" fillId="0" borderId="0" xfId="0" applyFont="1" applyAlignment="1" applyProtection="1">
      <alignment horizontal="left" vertical="top"/>
      <protection hidden="1"/>
    </xf>
    <xf numFmtId="0" fontId="3" fillId="0" borderId="0" xfId="0" applyFont="1" applyAlignment="1" applyProtection="1">
      <alignment horizontal="center"/>
      <protection hidden="1"/>
    </xf>
    <xf numFmtId="0" fontId="6" fillId="3" borderId="21" xfId="0" applyFont="1" applyFill="1" applyBorder="1" applyAlignment="1" applyProtection="1">
      <alignment horizontal="center"/>
      <protection hidden="1"/>
    </xf>
    <xf numFmtId="0" fontId="3" fillId="3" borderId="21" xfId="0" applyFont="1" applyFill="1" applyBorder="1" applyAlignment="1" applyProtection="1">
      <alignment horizontal="center"/>
      <protection hidden="1"/>
    </xf>
    <xf numFmtId="0" fontId="0" fillId="0" borderId="21" xfId="0" applyBorder="1" applyAlignment="1" applyProtection="1">
      <alignment horizontal="center"/>
      <protection hidden="1"/>
    </xf>
    <xf numFmtId="0" fontId="35" fillId="0" borderId="21" xfId="0" applyFont="1" applyBorder="1" applyAlignment="1" applyProtection="1">
      <alignment horizontal="left"/>
      <protection hidden="1"/>
    </xf>
    <xf numFmtId="0" fontId="0" fillId="0" borderId="1" xfId="0" applyBorder="1" applyAlignment="1" applyProtection="1">
      <alignment horizontal="center"/>
      <protection locked="0" hidden="1"/>
    </xf>
    <xf numFmtId="0" fontId="42" fillId="0" borderId="0" xfId="0" applyFont="1" applyAlignment="1" applyProtection="1">
      <alignment horizontal="center"/>
      <protection hidden="1"/>
    </xf>
    <xf numFmtId="0" fontId="43" fillId="0" borderId="0" xfId="0" applyFont="1" applyAlignment="1" applyProtection="1">
      <alignment horizontal="left"/>
      <protection hidden="1"/>
    </xf>
    <xf numFmtId="0" fontId="42" fillId="0" borderId="0" xfId="0" applyFont="1" applyProtection="1">
      <protection hidden="1"/>
    </xf>
    <xf numFmtId="0" fontId="44" fillId="0" borderId="0" xfId="0" applyFont="1" applyAlignment="1" applyProtection="1">
      <alignment vertical="top"/>
      <protection hidden="1"/>
    </xf>
    <xf numFmtId="0" fontId="45" fillId="0" borderId="0" xfId="0" applyFont="1" applyAlignment="1" applyProtection="1">
      <alignment horizontal="left"/>
      <protection hidden="1"/>
    </xf>
    <xf numFmtId="0" fontId="34" fillId="0" borderId="0" xfId="0" applyFont="1" applyAlignment="1" applyProtection="1">
      <alignment horizontal="center"/>
      <protection hidden="1"/>
    </xf>
    <xf numFmtId="0" fontId="33" fillId="0" borderId="0" xfId="0" applyFont="1" applyAlignment="1" applyProtection="1">
      <alignment vertical="top"/>
      <protection hidden="1"/>
    </xf>
    <xf numFmtId="0" fontId="34" fillId="0" borderId="0" xfId="0" applyFont="1" applyProtection="1">
      <protection hidden="1"/>
    </xf>
    <xf numFmtId="0" fontId="45" fillId="0" borderId="0" xfId="0" applyFont="1" applyAlignment="1" applyProtection="1">
      <alignment horizontal="center"/>
      <protection hidden="1"/>
    </xf>
    <xf numFmtId="0" fontId="45" fillId="0" borderId="22" xfId="0" applyFont="1" applyBorder="1" applyAlignment="1" applyProtection="1">
      <alignment horizontal="left"/>
      <protection hidden="1"/>
    </xf>
    <xf numFmtId="0" fontId="46" fillId="0" borderId="23" xfId="0" applyFont="1" applyBorder="1" applyAlignment="1" applyProtection="1">
      <alignment horizontal="center"/>
      <protection hidden="1"/>
    </xf>
    <xf numFmtId="0" fontId="34" fillId="0" borderId="23" xfId="0" applyFont="1" applyBorder="1" applyAlignment="1" applyProtection="1">
      <alignment horizontal="center"/>
      <protection hidden="1"/>
    </xf>
    <xf numFmtId="0" fontId="34" fillId="0" borderId="22" xfId="0" applyFont="1" applyBorder="1" applyAlignment="1" applyProtection="1">
      <alignment horizontal="center"/>
      <protection hidden="1"/>
    </xf>
    <xf numFmtId="0" fontId="42" fillId="0" borderId="22" xfId="0" applyFont="1" applyBorder="1" applyAlignment="1" applyProtection="1">
      <alignment horizontal="center"/>
      <protection hidden="1"/>
    </xf>
    <xf numFmtId="0" fontId="42" fillId="0" borderId="24" xfId="0" applyFont="1" applyBorder="1" applyAlignment="1" applyProtection="1">
      <alignment horizontal="center"/>
      <protection hidden="1"/>
    </xf>
    <xf numFmtId="0" fontId="42" fillId="0" borderId="0" xfId="0" quotePrefix="1" applyFont="1" applyProtection="1">
      <protection hidden="1"/>
    </xf>
    <xf numFmtId="0" fontId="26" fillId="0" borderId="12" xfId="38" applyFont="1" applyBorder="1"/>
    <xf numFmtId="0" fontId="5" fillId="0" borderId="0" xfId="0" applyFont="1" applyProtection="1">
      <protection hidden="1"/>
    </xf>
    <xf numFmtId="0" fontId="47" fillId="0" borderId="0" xfId="0" applyFont="1" applyProtection="1">
      <protection hidden="1"/>
    </xf>
    <xf numFmtId="0" fontId="34" fillId="0" borderId="0" xfId="0" applyFont="1" applyProtection="1">
      <protection locked="0" hidden="1"/>
    </xf>
    <xf numFmtId="0" fontId="4" fillId="0" borderId="0" xfId="38" applyProtection="1">
      <protection locked="0" hidden="1"/>
    </xf>
    <xf numFmtId="0" fontId="4" fillId="0" borderId="18" xfId="38" applyBorder="1" applyAlignment="1">
      <alignment horizontal="center"/>
    </xf>
    <xf numFmtId="0" fontId="28" fillId="32" borderId="0" xfId="38" applyFont="1" applyFill="1" applyAlignment="1">
      <alignment horizontal="left"/>
    </xf>
    <xf numFmtId="0" fontId="4" fillId="32" borderId="0" xfId="38" applyFill="1" applyAlignment="1">
      <alignment horizontal="center"/>
    </xf>
    <xf numFmtId="0" fontId="28" fillId="32" borderId="0" xfId="38" applyFont="1" applyFill="1" applyAlignment="1">
      <alignment horizontal="center"/>
    </xf>
    <xf numFmtId="0" fontId="4" fillId="33" borderId="0" xfId="38" applyFill="1" applyAlignment="1">
      <alignment horizontal="left"/>
    </xf>
    <xf numFmtId="0" fontId="4" fillId="33" borderId="0" xfId="38" applyFill="1" applyAlignment="1">
      <alignment horizontal="center"/>
    </xf>
    <xf numFmtId="0" fontId="49" fillId="32" borderId="0" xfId="38" applyFont="1" applyFill="1" applyAlignment="1">
      <alignment horizontal="center"/>
    </xf>
    <xf numFmtId="0" fontId="4" fillId="32" borderId="20" xfId="38" applyFill="1" applyBorder="1" applyAlignment="1">
      <alignment horizontal="center"/>
    </xf>
    <xf numFmtId="0" fontId="28" fillId="32" borderId="20" xfId="38" applyFont="1" applyFill="1" applyBorder="1" applyAlignment="1">
      <alignment horizontal="left"/>
    </xf>
    <xf numFmtId="0" fontId="28" fillId="32" borderId="20" xfId="38" applyFont="1" applyFill="1" applyBorder="1" applyAlignment="1">
      <alignment horizontal="center"/>
    </xf>
    <xf numFmtId="0" fontId="40" fillId="0" borderId="0" xfId="0" applyFont="1" applyProtection="1">
      <protection hidden="1"/>
    </xf>
    <xf numFmtId="0" fontId="5" fillId="30" borderId="0" xfId="0" applyFont="1" applyFill="1"/>
    <xf numFmtId="0" fontId="0" fillId="30" borderId="0" xfId="0" applyFill="1" applyAlignment="1">
      <alignment horizontal="center"/>
    </xf>
    <xf numFmtId="0" fontId="0" fillId="34" borderId="0" xfId="0" applyFill="1"/>
    <xf numFmtId="0" fontId="5" fillId="34" borderId="0" xfId="0" applyFont="1" applyFill="1"/>
    <xf numFmtId="0" fontId="0" fillId="34" borderId="0" xfId="0" applyFill="1" applyAlignment="1">
      <alignment horizontal="center"/>
    </xf>
    <xf numFmtId="164" fontId="0" fillId="0" borderId="0" xfId="0" applyNumberFormat="1"/>
    <xf numFmtId="0" fontId="39" fillId="0" borderId="0" xfId="38" applyFont="1" applyProtection="1">
      <protection hidden="1"/>
    </xf>
    <xf numFmtId="0" fontId="40" fillId="0" borderId="0" xfId="38" applyFont="1" applyAlignment="1">
      <alignment horizontal="center"/>
    </xf>
    <xf numFmtId="0" fontId="40" fillId="0" borderId="0" xfId="38" applyFont="1" applyAlignment="1" applyProtection="1">
      <alignment horizontal="center"/>
      <protection hidden="1"/>
    </xf>
    <xf numFmtId="0" fontId="39" fillId="0" borderId="0" xfId="38" applyFont="1" applyAlignment="1">
      <alignment horizontal="left"/>
    </xf>
    <xf numFmtId="0" fontId="39" fillId="0" borderId="0" xfId="38" applyFont="1" applyAlignment="1">
      <alignment horizontal="center"/>
    </xf>
    <xf numFmtId="9" fontId="39" fillId="0" borderId="0" xfId="51" applyFont="1" applyBorder="1" applyAlignment="1">
      <alignment horizontal="left"/>
    </xf>
    <xf numFmtId="0" fontId="50" fillId="0" borderId="0" xfId="38" applyFont="1" applyAlignment="1" applyProtection="1">
      <alignment vertical="center"/>
      <protection hidden="1"/>
    </xf>
    <xf numFmtId="0" fontId="50" fillId="0" borderId="0" xfId="38" applyFont="1" applyProtection="1">
      <protection hidden="1"/>
    </xf>
    <xf numFmtId="0" fontId="39" fillId="0" borderId="0" xfId="38" applyFont="1" applyAlignment="1" applyProtection="1">
      <alignment horizontal="left"/>
      <protection hidden="1"/>
    </xf>
    <xf numFmtId="0" fontId="40" fillId="0" borderId="0" xfId="38" applyFont="1" applyAlignment="1" applyProtection="1">
      <alignment horizontal="center"/>
      <protection locked="0" hidden="1"/>
    </xf>
    <xf numFmtId="0" fontId="27" fillId="0" borderId="1" xfId="38" applyFont="1" applyBorder="1" applyAlignment="1" applyProtection="1">
      <alignment horizontal="center"/>
      <protection locked="0" hidden="1"/>
    </xf>
    <xf numFmtId="0" fontId="0" fillId="36" borderId="0" xfId="0" applyFill="1" applyProtection="1">
      <protection locked="0" hidden="1"/>
    </xf>
    <xf numFmtId="0" fontId="0" fillId="0" borderId="28" xfId="0" applyBorder="1" applyProtection="1">
      <protection locked="0" hidden="1"/>
    </xf>
    <xf numFmtId="0" fontId="0" fillId="35" borderId="28" xfId="0" applyFill="1" applyBorder="1" applyProtection="1">
      <protection locked="0" hidden="1"/>
    </xf>
    <xf numFmtId="0" fontId="0" fillId="0" borderId="0" xfId="0" applyProtection="1">
      <protection locked="0" hidden="1"/>
    </xf>
    <xf numFmtId="0" fontId="26" fillId="0" borderId="11" xfId="38" applyFont="1" applyBorder="1" applyAlignment="1">
      <alignment horizontal="center"/>
    </xf>
    <xf numFmtId="0" fontId="26" fillId="0" borderId="12" xfId="38" applyFont="1" applyBorder="1" applyAlignment="1">
      <alignment horizontal="center"/>
    </xf>
    <xf numFmtId="0" fontId="27" fillId="0" borderId="0" xfId="38" applyFont="1" applyAlignment="1" applyProtection="1">
      <alignment horizontal="left" vertical="center"/>
      <protection hidden="1"/>
    </xf>
    <xf numFmtId="0" fontId="30" fillId="0" borderId="0" xfId="0" applyFont="1" applyAlignment="1">
      <alignment horizontal="center"/>
    </xf>
    <xf numFmtId="0" fontId="4" fillId="0" borderId="15" xfId="38" applyBorder="1" applyAlignment="1">
      <alignment horizontal="center"/>
    </xf>
    <xf numFmtId="0" fontId="7" fillId="0" borderId="0" xfId="38" applyFont="1" applyAlignment="1" applyProtection="1">
      <alignment horizontal="center"/>
      <protection hidden="1"/>
    </xf>
    <xf numFmtId="0" fontId="0" fillId="0" borderId="0" xfId="0" applyAlignment="1">
      <alignment horizontal="center"/>
    </xf>
    <xf numFmtId="0" fontId="0" fillId="0" borderId="0" xfId="0"/>
    <xf numFmtId="0" fontId="4" fillId="0" borderId="0" xfId="38" applyAlignment="1">
      <alignment horizontal="center"/>
    </xf>
    <xf numFmtId="0" fontId="4" fillId="0" borderId="16" xfId="38" applyBorder="1" applyAlignment="1">
      <alignment horizontal="center"/>
    </xf>
    <xf numFmtId="0" fontId="4" fillId="0" borderId="19" xfId="38" applyBorder="1" applyAlignment="1">
      <alignment horizontal="center"/>
    </xf>
    <xf numFmtId="0" fontId="40" fillId="0" borderId="0" xfId="38" applyFont="1" applyAlignment="1">
      <alignment horizontal="center"/>
    </xf>
    <xf numFmtId="0" fontId="39" fillId="0" borderId="0" xfId="38" applyFont="1" applyAlignment="1">
      <alignment horizontal="center"/>
    </xf>
    <xf numFmtId="0" fontId="34" fillId="0" borderId="0" xfId="0" applyFont="1" applyAlignment="1" applyProtection="1">
      <alignment horizontal="center"/>
      <protection hidden="1"/>
    </xf>
    <xf numFmtId="0" fontId="33" fillId="0" borderId="20" xfId="0" applyFont="1" applyBorder="1" applyAlignment="1" applyProtection="1">
      <alignment horizontal="center" vertical="top"/>
      <protection hidden="1"/>
    </xf>
    <xf numFmtId="0" fontId="1" fillId="2" borderId="0" xfId="0" applyFont="1" applyFill="1" applyAlignment="1" applyProtection="1">
      <alignment horizontal="center"/>
      <protection hidden="1"/>
    </xf>
    <xf numFmtId="0" fontId="33" fillId="0" borderId="0" xfId="0" applyFont="1" applyAlignment="1" applyProtection="1">
      <alignment horizontal="center" vertical="top"/>
      <protection hidden="1"/>
    </xf>
    <xf numFmtId="0" fontId="34" fillId="0" borderId="25" xfId="0" applyFont="1" applyBorder="1" applyAlignment="1" applyProtection="1">
      <alignment horizontal="center"/>
      <protection locked="0" hidden="1"/>
    </xf>
    <xf numFmtId="0" fontId="34" fillId="0" borderId="26" xfId="0" applyFont="1" applyBorder="1" applyAlignment="1" applyProtection="1">
      <alignment horizontal="center"/>
      <protection locked="0" hidden="1"/>
    </xf>
    <xf numFmtId="0" fontId="34" fillId="0" borderId="27" xfId="0" applyFont="1" applyBorder="1" applyAlignment="1" applyProtection="1">
      <alignment horizontal="center"/>
      <protection locked="0" hidden="1"/>
    </xf>
    <xf numFmtId="0" fontId="52" fillId="0" borderId="0" xfId="0" applyFont="1" applyAlignment="1" applyProtection="1">
      <alignment horizontal="center"/>
      <protection hidden="1"/>
    </xf>
    <xf numFmtId="0" fontId="30" fillId="0" borderId="0" xfId="0" applyFont="1" applyAlignment="1">
      <alignment vertical="center"/>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xfId="52" builtinId="27"/>
    <cellStyle name="Bad 2" xfId="26" xr:uid="{00000000-0005-0000-0000-000019000000}"/>
    <cellStyle name="Calculation 2" xfId="27"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39" xr:uid="{00000000-0005-0000-0000-000027000000}"/>
    <cellStyle name="Normal 2 2 2" xfId="40" xr:uid="{00000000-0005-0000-0000-000028000000}"/>
    <cellStyle name="Normal 2 2 3" xfId="41" xr:uid="{00000000-0005-0000-0000-000029000000}"/>
    <cellStyle name="Normal 3" xfId="42" xr:uid="{00000000-0005-0000-0000-00002A000000}"/>
    <cellStyle name="Normal 4" xfId="43" xr:uid="{00000000-0005-0000-0000-00002B000000}"/>
    <cellStyle name="Normal 5" xfId="1" xr:uid="{00000000-0005-0000-0000-00002C000000}"/>
    <cellStyle name="Normal 5 2" xfId="50" xr:uid="{00000000-0005-0000-0000-00002D000000}"/>
    <cellStyle name="Normal 6" xfId="53" xr:uid="{00000000-0005-0000-0000-00002E000000}"/>
    <cellStyle name="Note 2" xfId="44" xr:uid="{00000000-0005-0000-0000-00002F000000}"/>
    <cellStyle name="Output 2" xfId="45" xr:uid="{00000000-0005-0000-0000-000030000000}"/>
    <cellStyle name="Percent 2" xfId="49" xr:uid="{00000000-0005-0000-0000-000031000000}"/>
    <cellStyle name="Percent 2 2" xfId="51" xr:uid="{00000000-0005-0000-0000-000032000000}"/>
    <cellStyle name="Title 2" xfId="46" xr:uid="{00000000-0005-0000-0000-000033000000}"/>
    <cellStyle name="Total 2" xfId="47" xr:uid="{00000000-0005-0000-0000-000034000000}"/>
    <cellStyle name="Warning Text 2" xfId="48" xr:uid="{00000000-0005-0000-0000-000035000000}"/>
  </cellStyles>
  <dxfs count="89">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ill>
        <patternFill>
          <bgColor rgb="FF00B050"/>
        </patternFill>
      </fill>
    </dxf>
    <dxf>
      <fill>
        <patternFill>
          <bgColor rgb="FFFF0000"/>
        </patternFill>
      </fill>
    </dxf>
    <dxf>
      <fill>
        <patternFill>
          <bgColor rgb="FF00B0F0"/>
        </patternFill>
      </fill>
    </dxf>
    <dxf>
      <font>
        <strike val="0"/>
        <color rgb="FFFF0000"/>
      </font>
    </dxf>
    <dxf>
      <fill>
        <patternFill>
          <bgColor rgb="FFCCFFCC"/>
        </patternFill>
      </fill>
    </dxf>
    <dxf>
      <fill>
        <patternFill>
          <bgColor rgb="FFFFCCCC"/>
        </patternFill>
      </fill>
    </dxf>
    <dxf>
      <fill>
        <patternFill>
          <bgColor rgb="FFCCCCFF"/>
        </patternFill>
      </fill>
    </dxf>
    <dxf>
      <fill>
        <patternFill>
          <bgColor rgb="FF00B050"/>
        </patternFill>
      </fill>
    </dxf>
    <dxf>
      <fill>
        <patternFill>
          <bgColor rgb="FFFF0000"/>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ont>
        <strike val="0"/>
        <color auto="1"/>
      </font>
      <fill>
        <patternFill>
          <bgColor rgb="FFCCFFCC"/>
        </patternFill>
      </fill>
    </dxf>
    <dxf>
      <font>
        <strike val="0"/>
        <color auto="1"/>
      </font>
      <fill>
        <patternFill>
          <bgColor theme="5" tint="0.79998168889431442"/>
        </patternFill>
      </fill>
    </dxf>
    <dxf>
      <font>
        <condense val="0"/>
        <extend val="0"/>
        <color indexed="10"/>
      </font>
    </dxf>
    <dxf>
      <font>
        <condense val="0"/>
        <extend val="0"/>
        <color indexed="10"/>
      </font>
    </dxf>
    <dxf>
      <font>
        <condense val="0"/>
        <extend val="0"/>
        <color indexed="17"/>
      </font>
    </dxf>
    <dxf>
      <fill>
        <patternFill>
          <bgColor theme="1"/>
        </patternFill>
      </fill>
    </dxf>
    <dxf>
      <fill>
        <patternFill patternType="none">
          <bgColor auto="1"/>
        </patternFill>
      </fill>
    </dxf>
    <dxf>
      <fill>
        <patternFill>
          <bgColor indexed="8"/>
        </patternFill>
      </fill>
    </dxf>
    <dxf>
      <fill>
        <patternFill patternType="none">
          <bgColor auto="1"/>
        </patternFill>
      </fill>
    </dxf>
    <dxf>
      <fill>
        <patternFill>
          <bgColor theme="1"/>
        </patternFill>
      </fill>
    </dxf>
    <dxf>
      <fill>
        <patternFill>
          <bgColor theme="0"/>
        </patternFill>
      </fill>
    </dxf>
    <dxf>
      <fill>
        <patternFill>
          <bgColor indexed="8"/>
        </patternFill>
      </fill>
    </dxf>
    <dxf>
      <fill>
        <patternFill>
          <bgColor theme="1"/>
        </patternFill>
      </fill>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patternType="none">
          <bgColor auto="1"/>
        </patternFill>
      </fill>
    </dxf>
    <dxf>
      <fill>
        <patternFill>
          <bgColor theme="1"/>
        </patternFill>
      </fill>
    </dxf>
    <dxf>
      <font>
        <color theme="0"/>
      </font>
      <fill>
        <patternFill>
          <bgColor theme="1"/>
        </patternFill>
      </fill>
    </dxf>
    <dxf>
      <fill>
        <patternFill patternType="none">
          <bgColor auto="1"/>
        </patternFill>
      </fill>
    </dxf>
    <dxf>
      <fill>
        <patternFill>
          <bgColor theme="1"/>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auto="1"/>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bgColor theme="1"/>
        </patternFill>
      </fill>
    </dxf>
    <dxf>
      <fill>
        <patternFill>
          <bgColor indexed="8"/>
        </patternFill>
      </fill>
    </dxf>
    <dxf>
      <fill>
        <patternFill>
          <bgColor theme="1"/>
        </patternFill>
      </fill>
    </dxf>
    <dxf>
      <fill>
        <patternFill patternType="none">
          <bgColor auto="1"/>
        </patternFill>
      </fill>
    </dxf>
    <dxf>
      <fill>
        <patternFill>
          <bgColor theme="0"/>
        </patternFill>
      </fill>
    </dxf>
    <dxf>
      <fill>
        <patternFill>
          <bgColor indexed="8"/>
        </patternFill>
      </fill>
    </dxf>
    <dxf>
      <fill>
        <patternFill>
          <bgColor theme="1"/>
        </patternFill>
      </fill>
      <border>
        <right style="thin">
          <color auto="1"/>
        </right>
      </border>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bgColor indexed="8"/>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ill>
        <patternFill>
          <bgColor indexed="9"/>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border outline="0">
        <left style="thin">
          <color indexed="64"/>
        </left>
        <right style="thin">
          <color indexed="64"/>
        </right>
        <top style="thin">
          <color theme="8" tint="0.39997558519241921"/>
        </top>
        <bottom style="thin">
          <color indexed="64"/>
        </bottom>
      </border>
    </dxf>
    <dxf>
      <font>
        <b val="0"/>
        <i val="0"/>
        <strike val="0"/>
        <condense val="0"/>
        <extend val="0"/>
        <outline val="0"/>
        <shadow val="0"/>
        <u val="none"/>
        <vertAlign val="baseline"/>
        <sz val="11"/>
        <color theme="1"/>
        <name val="Calibri"/>
        <family val="2"/>
        <scheme val="minor"/>
      </font>
      <protection locked="0"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4"/>
        </patternFill>
      </fill>
      <protection locked="0" hidden="1"/>
    </dxf>
  </dxfs>
  <tableStyles count="0" defaultTableStyle="TableStyleMedium2" defaultPivotStyle="PivotStyleLight16"/>
  <colors>
    <mruColors>
      <color rgb="FFCC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Calculator'!$AD$7</c:f>
              <c:numCache>
                <c:formatCode>General</c:formatCode>
                <c:ptCount val="1"/>
                <c:pt idx="0">
                  <c:v>8</c:v>
                </c:pt>
              </c:numCache>
            </c:numRef>
          </c:val>
          <c:extLst>
            <c:ext xmlns:c16="http://schemas.microsoft.com/office/drawing/2014/chart" uri="{C3380CC4-5D6E-409C-BE32-E72D297353CC}">
              <c16:uniqueId val="{00000000-110B-4F58-97FE-CF15D0B356F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Calculator'!$AC$7</c:f>
              <c:numCache>
                <c:formatCode>General</c:formatCode>
                <c:ptCount val="1"/>
                <c:pt idx="0">
                  <c:v>42</c:v>
                </c:pt>
              </c:numCache>
            </c:numRef>
          </c:val>
          <c:extLst>
            <c:ext xmlns:c16="http://schemas.microsoft.com/office/drawing/2014/chart" uri="{C3380CC4-5D6E-409C-BE32-E72D297353CC}">
              <c16:uniqueId val="{00000001-110B-4F58-97FE-CF15D0B356F1}"/>
            </c:ext>
          </c:extLst>
        </c:ser>
        <c:dLbls>
          <c:showLegendKey val="0"/>
          <c:showVal val="0"/>
          <c:showCatName val="0"/>
          <c:showSerName val="0"/>
          <c:showPercent val="0"/>
          <c:showBubbleSize val="0"/>
        </c:dLbls>
        <c:gapWidth val="0"/>
        <c:overlap val="-50"/>
        <c:axId val="190192256"/>
        <c:axId val="190206336"/>
      </c:barChart>
      <c:catAx>
        <c:axId val="190192256"/>
        <c:scaling>
          <c:orientation val="minMax"/>
        </c:scaling>
        <c:delete val="1"/>
        <c:axPos val="l"/>
        <c:majorTickMark val="out"/>
        <c:minorTickMark val="none"/>
        <c:tickLblPos val="nextTo"/>
        <c:crossAx val="190206336"/>
        <c:crosses val="autoZero"/>
        <c:auto val="1"/>
        <c:lblAlgn val="ctr"/>
        <c:lblOffset val="100"/>
        <c:noMultiLvlLbl val="0"/>
      </c:catAx>
      <c:valAx>
        <c:axId val="190206336"/>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192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44943820224719E-2"/>
          <c:y val="1.7793594306049824E-2"/>
          <c:w val="0.9719101123595506"/>
          <c:h val="0.96797153024911031"/>
        </c:manualLayout>
      </c:layout>
      <c:barChart>
        <c:barDir val="bar"/>
        <c:grouping val="clustered"/>
        <c:varyColors val="0"/>
        <c:ser>
          <c:idx val="14"/>
          <c:order val="0"/>
          <c:tx>
            <c:strRef>
              <c:f>'Stats Calculator'!$AG$17</c:f>
              <c:strCache>
                <c:ptCount val="1"/>
                <c:pt idx="0">
                  <c:v>-2</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Calculator'!$AH$17</c:f>
              <c:numCache>
                <c:formatCode>General</c:formatCode>
                <c:ptCount val="1"/>
                <c:pt idx="0">
                  <c:v>0</c:v>
                </c:pt>
              </c:numCache>
            </c:numRef>
          </c:val>
          <c:extLst>
            <c:ext xmlns:c16="http://schemas.microsoft.com/office/drawing/2014/chart" uri="{C3380CC4-5D6E-409C-BE32-E72D297353CC}">
              <c16:uniqueId val="{00000000-3528-4AEB-9D39-08DECDEAA245}"/>
            </c:ext>
          </c:extLst>
        </c:ser>
        <c:ser>
          <c:idx val="13"/>
          <c:order val="1"/>
          <c:tx>
            <c:strRef>
              <c:f>'Stats Calculator'!$AG$16</c:f>
              <c:strCache>
                <c:ptCount val="1"/>
                <c:pt idx="0">
                  <c:v>-1</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Calculator'!$AH$16</c:f>
              <c:numCache>
                <c:formatCode>General</c:formatCode>
                <c:ptCount val="1"/>
                <c:pt idx="0">
                  <c:v>0</c:v>
                </c:pt>
              </c:numCache>
            </c:numRef>
          </c:val>
          <c:extLst>
            <c:ext xmlns:c16="http://schemas.microsoft.com/office/drawing/2014/chart" uri="{C3380CC4-5D6E-409C-BE32-E72D297353CC}">
              <c16:uniqueId val="{00000001-3528-4AEB-9D39-08DECDEAA245}"/>
            </c:ext>
          </c:extLst>
        </c:ser>
        <c:ser>
          <c:idx val="12"/>
          <c:order val="2"/>
          <c:tx>
            <c:strRef>
              <c:f>'Stats Calculator'!$AG$15</c:f>
              <c:strCache>
                <c:ptCount val="1"/>
                <c:pt idx="0">
                  <c:v>0</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Calculator'!$AH$15</c:f>
              <c:numCache>
                <c:formatCode>General</c:formatCode>
                <c:ptCount val="1"/>
                <c:pt idx="0">
                  <c:v>0</c:v>
                </c:pt>
              </c:numCache>
            </c:numRef>
          </c:val>
          <c:extLst>
            <c:ext xmlns:c16="http://schemas.microsoft.com/office/drawing/2014/chart" uri="{C3380CC4-5D6E-409C-BE32-E72D297353CC}">
              <c16:uniqueId val="{00000002-3528-4AEB-9D39-08DECDEAA245}"/>
            </c:ext>
          </c:extLst>
        </c:ser>
        <c:ser>
          <c:idx val="11"/>
          <c:order val="3"/>
          <c:tx>
            <c:strRef>
              <c:f>'Stats Calculator'!$AG$14</c:f>
              <c:strCache>
                <c:ptCount val="1"/>
                <c:pt idx="0">
                  <c:v>1</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Calculator'!$AH$14</c:f>
              <c:numCache>
                <c:formatCode>General</c:formatCode>
                <c:ptCount val="1"/>
                <c:pt idx="0">
                  <c:v>0</c:v>
                </c:pt>
              </c:numCache>
            </c:numRef>
          </c:val>
          <c:extLst>
            <c:ext xmlns:c16="http://schemas.microsoft.com/office/drawing/2014/chart" uri="{C3380CC4-5D6E-409C-BE32-E72D297353CC}">
              <c16:uniqueId val="{00000003-3528-4AEB-9D39-08DECDEAA245}"/>
            </c:ext>
          </c:extLst>
        </c:ser>
        <c:ser>
          <c:idx val="10"/>
          <c:order val="4"/>
          <c:tx>
            <c:strRef>
              <c:f>'Stats Calculator'!$AG$13</c:f>
              <c:strCache>
                <c:ptCount val="1"/>
                <c:pt idx="0">
                  <c:v>2</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Calculator'!$AH$13</c:f>
              <c:numCache>
                <c:formatCode>General</c:formatCode>
                <c:ptCount val="1"/>
                <c:pt idx="0">
                  <c:v>0</c:v>
                </c:pt>
              </c:numCache>
            </c:numRef>
          </c:val>
          <c:extLst>
            <c:ext xmlns:c16="http://schemas.microsoft.com/office/drawing/2014/chart" uri="{C3380CC4-5D6E-409C-BE32-E72D297353CC}">
              <c16:uniqueId val="{00000004-3528-4AEB-9D39-08DECDEAA245}"/>
            </c:ext>
          </c:extLst>
        </c:ser>
        <c:ser>
          <c:idx val="9"/>
          <c:order val="5"/>
          <c:tx>
            <c:strRef>
              <c:f>'Stats Calculator'!$AG$12</c:f>
              <c:strCache>
                <c:ptCount val="1"/>
                <c:pt idx="0">
                  <c:v>3</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Calculator'!$AH$12</c:f>
              <c:numCache>
                <c:formatCode>General</c:formatCode>
                <c:ptCount val="1"/>
                <c:pt idx="0">
                  <c:v>2</c:v>
                </c:pt>
              </c:numCache>
            </c:numRef>
          </c:val>
          <c:extLst>
            <c:ext xmlns:c16="http://schemas.microsoft.com/office/drawing/2014/chart" uri="{C3380CC4-5D6E-409C-BE32-E72D297353CC}">
              <c16:uniqueId val="{00000005-3528-4AEB-9D39-08DECDEAA245}"/>
            </c:ext>
          </c:extLst>
        </c:ser>
        <c:ser>
          <c:idx val="8"/>
          <c:order val="6"/>
          <c:tx>
            <c:strRef>
              <c:f>'Stats Calculator'!$AG$11</c:f>
              <c:strCache>
                <c:ptCount val="1"/>
                <c:pt idx="0">
                  <c:v>4</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Calculator'!$AH$11</c:f>
              <c:numCache>
                <c:formatCode>General</c:formatCode>
                <c:ptCount val="1"/>
                <c:pt idx="0">
                  <c:v>15</c:v>
                </c:pt>
              </c:numCache>
            </c:numRef>
          </c:val>
          <c:extLst>
            <c:ext xmlns:c16="http://schemas.microsoft.com/office/drawing/2014/chart" uri="{C3380CC4-5D6E-409C-BE32-E72D297353CC}">
              <c16:uniqueId val="{00000006-3528-4AEB-9D39-08DECDEAA245}"/>
            </c:ext>
          </c:extLst>
        </c:ser>
        <c:ser>
          <c:idx val="7"/>
          <c:order val="7"/>
          <c:tx>
            <c:strRef>
              <c:f>'Stats Calculator'!$AG$10</c:f>
              <c:strCache>
                <c:ptCount val="1"/>
                <c:pt idx="0">
                  <c:v>5</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Calculator'!$AH$10</c:f>
              <c:numCache>
                <c:formatCode>General</c:formatCode>
                <c:ptCount val="1"/>
                <c:pt idx="0">
                  <c:v>9</c:v>
                </c:pt>
              </c:numCache>
            </c:numRef>
          </c:val>
          <c:extLst>
            <c:ext xmlns:c16="http://schemas.microsoft.com/office/drawing/2014/chart" uri="{C3380CC4-5D6E-409C-BE32-E72D297353CC}">
              <c16:uniqueId val="{00000007-3528-4AEB-9D39-08DECDEAA245}"/>
            </c:ext>
          </c:extLst>
        </c:ser>
        <c:ser>
          <c:idx val="6"/>
          <c:order val="8"/>
          <c:tx>
            <c:strRef>
              <c:f>'Stats Calculator'!$AG$9</c:f>
              <c:strCache>
                <c:ptCount val="1"/>
                <c:pt idx="0">
                  <c:v>6</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Calculator'!$AH$9</c:f>
              <c:numCache>
                <c:formatCode>General</c:formatCode>
                <c:ptCount val="1"/>
                <c:pt idx="0">
                  <c:v>0</c:v>
                </c:pt>
              </c:numCache>
            </c:numRef>
          </c:val>
          <c:extLst>
            <c:ext xmlns:c16="http://schemas.microsoft.com/office/drawing/2014/chart" uri="{C3380CC4-5D6E-409C-BE32-E72D297353CC}">
              <c16:uniqueId val="{00000008-3528-4AEB-9D39-08DECDEAA245}"/>
            </c:ext>
          </c:extLst>
        </c:ser>
        <c:ser>
          <c:idx val="5"/>
          <c:order val="9"/>
          <c:tx>
            <c:strRef>
              <c:f>'Stats Calculator'!$AG$8</c:f>
              <c:strCache>
                <c:ptCount val="1"/>
                <c:pt idx="0">
                  <c:v>7</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Calculator'!$AH$8</c:f>
              <c:numCache>
                <c:formatCode>General</c:formatCode>
                <c:ptCount val="1"/>
                <c:pt idx="0">
                  <c:v>2</c:v>
                </c:pt>
              </c:numCache>
            </c:numRef>
          </c:val>
          <c:extLst>
            <c:ext xmlns:c16="http://schemas.microsoft.com/office/drawing/2014/chart" uri="{C3380CC4-5D6E-409C-BE32-E72D297353CC}">
              <c16:uniqueId val="{00000009-3528-4AEB-9D39-08DECDEAA245}"/>
            </c:ext>
          </c:extLst>
        </c:ser>
        <c:ser>
          <c:idx val="4"/>
          <c:order val="10"/>
          <c:tx>
            <c:strRef>
              <c:f>'Stats Calculator'!$AG$7</c:f>
              <c:strCache>
                <c:ptCount val="1"/>
                <c:pt idx="0">
                  <c:v>8</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Calculator'!$AH$7</c:f>
              <c:numCache>
                <c:formatCode>General</c:formatCode>
                <c:ptCount val="1"/>
                <c:pt idx="0">
                  <c:v>10</c:v>
                </c:pt>
              </c:numCache>
            </c:numRef>
          </c:val>
          <c:extLst>
            <c:ext xmlns:c16="http://schemas.microsoft.com/office/drawing/2014/chart" uri="{C3380CC4-5D6E-409C-BE32-E72D297353CC}">
              <c16:uniqueId val="{0000000A-3528-4AEB-9D39-08DECDEAA245}"/>
            </c:ext>
          </c:extLst>
        </c:ser>
        <c:ser>
          <c:idx val="3"/>
          <c:order val="11"/>
          <c:tx>
            <c:strRef>
              <c:f>'Stats Calculator'!$AG$6</c:f>
              <c:strCache>
                <c:ptCount val="1"/>
                <c:pt idx="0">
                  <c:v>9</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Calculator'!$AH$6</c:f>
              <c:numCache>
                <c:formatCode>General</c:formatCode>
                <c:ptCount val="1"/>
                <c:pt idx="0">
                  <c:v>11</c:v>
                </c:pt>
              </c:numCache>
            </c:numRef>
          </c:val>
          <c:extLst>
            <c:ext xmlns:c16="http://schemas.microsoft.com/office/drawing/2014/chart" uri="{C3380CC4-5D6E-409C-BE32-E72D297353CC}">
              <c16:uniqueId val="{0000000B-3528-4AEB-9D39-08DECDEAA245}"/>
            </c:ext>
          </c:extLst>
        </c:ser>
        <c:ser>
          <c:idx val="1"/>
          <c:order val="12"/>
          <c:tx>
            <c:strRef>
              <c:f>'Stats Calculator'!$AG$5</c:f>
              <c:strCache>
                <c:ptCount val="1"/>
                <c:pt idx="0">
                  <c:v>10</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Calculator'!$AH$5</c:f>
              <c:numCache>
                <c:formatCode>General</c:formatCode>
                <c:ptCount val="1"/>
                <c:pt idx="0">
                  <c:v>0</c:v>
                </c:pt>
              </c:numCache>
            </c:numRef>
          </c:val>
          <c:extLst>
            <c:ext xmlns:c16="http://schemas.microsoft.com/office/drawing/2014/chart" uri="{C3380CC4-5D6E-409C-BE32-E72D297353CC}">
              <c16:uniqueId val="{0000000C-3528-4AEB-9D39-08DECDEAA245}"/>
            </c:ext>
          </c:extLst>
        </c:ser>
        <c:ser>
          <c:idx val="2"/>
          <c:order val="13"/>
          <c:tx>
            <c:strRef>
              <c:f>'Stats Calculator'!$AG$4</c:f>
              <c:strCache>
                <c:ptCount val="1"/>
                <c:pt idx="0">
                  <c:v>11</c:v>
                </c:pt>
              </c:strCache>
            </c:strRef>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Calculator'!$AH$4</c:f>
              <c:numCache>
                <c:formatCode>General</c:formatCode>
                <c:ptCount val="1"/>
                <c:pt idx="0">
                  <c:v>0</c:v>
                </c:pt>
              </c:numCache>
            </c:numRef>
          </c:val>
          <c:extLst>
            <c:ext xmlns:c16="http://schemas.microsoft.com/office/drawing/2014/chart" uri="{C3380CC4-5D6E-409C-BE32-E72D297353CC}">
              <c16:uniqueId val="{0000000D-3528-4AEB-9D39-08DECDEAA245}"/>
            </c:ext>
          </c:extLst>
        </c:ser>
        <c:ser>
          <c:idx val="0"/>
          <c:order val="14"/>
          <c:tx>
            <c:strRef>
              <c:f>'Stats Calculator'!$AG$3</c:f>
              <c:strCache>
                <c:ptCount val="1"/>
                <c:pt idx="0">
                  <c:v>12</c:v>
                </c:pt>
              </c:strCache>
            </c:strRef>
          </c:tx>
          <c:spPr>
            <a:solidFill>
              <a:srgbClr val="3366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Calculator'!$AH$3</c:f>
              <c:numCache>
                <c:formatCode>General</c:formatCode>
                <c:ptCount val="1"/>
                <c:pt idx="0">
                  <c:v>1</c:v>
                </c:pt>
              </c:numCache>
            </c:numRef>
          </c:val>
          <c:extLst>
            <c:ext xmlns:c16="http://schemas.microsoft.com/office/drawing/2014/chart" uri="{C3380CC4-5D6E-409C-BE32-E72D297353CC}">
              <c16:uniqueId val="{0000000E-3528-4AEB-9D39-08DECDEAA245}"/>
            </c:ext>
          </c:extLst>
        </c:ser>
        <c:ser>
          <c:idx val="15"/>
          <c:order val="15"/>
          <c:tx>
            <c:strRef>
              <c:f>'Stats Calculator'!$AG$18</c:f>
              <c:strCache>
                <c:ptCount val="1"/>
                <c:pt idx="0">
                  <c:v>Perfect Round</c:v>
                </c:pt>
              </c:strCache>
            </c:strRef>
          </c:tx>
          <c:spPr>
            <a:solidFill>
              <a:srgbClr val="FFFF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Calculator'!$AH$18</c:f>
              <c:numCache>
                <c:formatCode>General</c:formatCode>
                <c:ptCount val="1"/>
                <c:pt idx="0">
                  <c:v>1</c:v>
                </c:pt>
              </c:numCache>
            </c:numRef>
          </c:val>
          <c:extLst>
            <c:ext xmlns:c16="http://schemas.microsoft.com/office/drawing/2014/chart" uri="{C3380CC4-5D6E-409C-BE32-E72D297353CC}">
              <c16:uniqueId val="{0000000F-3528-4AEB-9D39-08DECDEAA245}"/>
            </c:ext>
          </c:extLst>
        </c:ser>
        <c:dLbls>
          <c:showLegendKey val="0"/>
          <c:showVal val="0"/>
          <c:showCatName val="0"/>
          <c:showSerName val="0"/>
          <c:showPercent val="0"/>
          <c:showBubbleSize val="0"/>
        </c:dLbls>
        <c:gapWidth val="0"/>
        <c:axId val="191418368"/>
        <c:axId val="191419904"/>
      </c:barChart>
      <c:catAx>
        <c:axId val="191418368"/>
        <c:scaling>
          <c:orientation val="minMax"/>
        </c:scaling>
        <c:delete val="1"/>
        <c:axPos val="l"/>
        <c:majorTickMark val="out"/>
        <c:minorTickMark val="none"/>
        <c:tickLblPos val="nextTo"/>
        <c:crossAx val="191419904"/>
        <c:crosses val="autoZero"/>
        <c:auto val="1"/>
        <c:lblAlgn val="ctr"/>
        <c:lblOffset val="100"/>
        <c:noMultiLvlLbl val="0"/>
      </c:catAx>
      <c:valAx>
        <c:axId val="19141990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141836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Calculator'!$AD$8</c:f>
              <c:numCache>
                <c:formatCode>General</c:formatCode>
                <c:ptCount val="1"/>
                <c:pt idx="0">
                  <c:v>9</c:v>
                </c:pt>
              </c:numCache>
            </c:numRef>
          </c:val>
          <c:extLst>
            <c:ext xmlns:c16="http://schemas.microsoft.com/office/drawing/2014/chart" uri="{C3380CC4-5D6E-409C-BE32-E72D297353CC}">
              <c16:uniqueId val="{00000000-5272-448D-B4EE-5BEAE5682356}"/>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Calculator'!$AC$8</c:f>
              <c:numCache>
                <c:formatCode>General</c:formatCode>
                <c:ptCount val="1"/>
                <c:pt idx="0">
                  <c:v>41</c:v>
                </c:pt>
              </c:numCache>
            </c:numRef>
          </c:val>
          <c:extLst>
            <c:ext xmlns:c16="http://schemas.microsoft.com/office/drawing/2014/chart" uri="{C3380CC4-5D6E-409C-BE32-E72D297353CC}">
              <c16:uniqueId val="{00000001-5272-448D-B4EE-5BEAE5682356}"/>
            </c:ext>
          </c:extLst>
        </c:ser>
        <c:dLbls>
          <c:showLegendKey val="0"/>
          <c:showVal val="0"/>
          <c:showCatName val="0"/>
          <c:showSerName val="0"/>
          <c:showPercent val="0"/>
          <c:showBubbleSize val="0"/>
        </c:dLbls>
        <c:gapWidth val="0"/>
        <c:overlap val="-50"/>
        <c:axId val="190224256"/>
        <c:axId val="190225792"/>
      </c:barChart>
      <c:catAx>
        <c:axId val="190224256"/>
        <c:scaling>
          <c:orientation val="minMax"/>
        </c:scaling>
        <c:delete val="1"/>
        <c:axPos val="l"/>
        <c:majorTickMark val="out"/>
        <c:minorTickMark val="none"/>
        <c:tickLblPos val="nextTo"/>
        <c:crossAx val="190225792"/>
        <c:crosses val="autoZero"/>
        <c:auto val="1"/>
        <c:lblAlgn val="ctr"/>
        <c:lblOffset val="100"/>
        <c:noMultiLvlLbl val="0"/>
      </c:catAx>
      <c:valAx>
        <c:axId val="190225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24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7855653201988E-2"/>
          <c:y val="8.0320676042859335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Calculator'!$AD$9</c:f>
              <c:numCache>
                <c:formatCode>General</c:formatCode>
                <c:ptCount val="1"/>
                <c:pt idx="0">
                  <c:v>17</c:v>
                </c:pt>
              </c:numCache>
            </c:numRef>
          </c:val>
          <c:extLst>
            <c:ext xmlns:c16="http://schemas.microsoft.com/office/drawing/2014/chart" uri="{C3380CC4-5D6E-409C-BE32-E72D297353CC}">
              <c16:uniqueId val="{00000000-0F09-4F12-AD63-D1D3F27CD395}"/>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Calculator'!$AC$9</c:f>
              <c:numCache>
                <c:formatCode>General</c:formatCode>
                <c:ptCount val="1"/>
                <c:pt idx="0">
                  <c:v>33</c:v>
                </c:pt>
              </c:numCache>
            </c:numRef>
          </c:val>
          <c:extLst>
            <c:ext xmlns:c16="http://schemas.microsoft.com/office/drawing/2014/chart" uri="{C3380CC4-5D6E-409C-BE32-E72D297353CC}">
              <c16:uniqueId val="{00000001-0F09-4F12-AD63-D1D3F27CD395}"/>
            </c:ext>
          </c:extLst>
        </c:ser>
        <c:dLbls>
          <c:showLegendKey val="0"/>
          <c:showVal val="0"/>
          <c:showCatName val="0"/>
          <c:showSerName val="0"/>
          <c:showPercent val="0"/>
          <c:showBubbleSize val="0"/>
        </c:dLbls>
        <c:gapWidth val="0"/>
        <c:overlap val="-50"/>
        <c:axId val="189163008"/>
        <c:axId val="189164544"/>
      </c:barChart>
      <c:catAx>
        <c:axId val="189163008"/>
        <c:scaling>
          <c:orientation val="minMax"/>
        </c:scaling>
        <c:delete val="1"/>
        <c:axPos val="l"/>
        <c:majorTickMark val="out"/>
        <c:minorTickMark val="none"/>
        <c:tickLblPos val="nextTo"/>
        <c:crossAx val="189164544"/>
        <c:crosses val="autoZero"/>
        <c:auto val="1"/>
        <c:lblAlgn val="ctr"/>
        <c:lblOffset val="100"/>
        <c:noMultiLvlLbl val="0"/>
      </c:catAx>
      <c:valAx>
        <c:axId val="189164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63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Calculator'!$AD$10</c:f>
              <c:numCache>
                <c:formatCode>General</c:formatCode>
                <c:ptCount val="1"/>
                <c:pt idx="0">
                  <c:v>3</c:v>
                </c:pt>
              </c:numCache>
            </c:numRef>
          </c:val>
          <c:extLst>
            <c:ext xmlns:c16="http://schemas.microsoft.com/office/drawing/2014/chart" uri="{C3380CC4-5D6E-409C-BE32-E72D297353CC}">
              <c16:uniqueId val="{00000000-7443-4601-A49F-E092D721C47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Calculator'!$AC$10</c:f>
              <c:numCache>
                <c:formatCode>General</c:formatCode>
                <c:ptCount val="1"/>
                <c:pt idx="0">
                  <c:v>47</c:v>
                </c:pt>
              </c:numCache>
            </c:numRef>
          </c:val>
          <c:extLst>
            <c:ext xmlns:c16="http://schemas.microsoft.com/office/drawing/2014/chart" uri="{C3380CC4-5D6E-409C-BE32-E72D297353CC}">
              <c16:uniqueId val="{00000001-7443-4601-A49F-E092D721C471}"/>
            </c:ext>
          </c:extLst>
        </c:ser>
        <c:dLbls>
          <c:showLegendKey val="0"/>
          <c:showVal val="0"/>
          <c:showCatName val="0"/>
          <c:showSerName val="0"/>
          <c:showPercent val="0"/>
          <c:showBubbleSize val="0"/>
        </c:dLbls>
        <c:gapWidth val="0"/>
        <c:overlap val="-50"/>
        <c:axId val="189195008"/>
        <c:axId val="189196544"/>
      </c:barChart>
      <c:catAx>
        <c:axId val="189195008"/>
        <c:scaling>
          <c:orientation val="minMax"/>
        </c:scaling>
        <c:delete val="1"/>
        <c:axPos val="l"/>
        <c:majorTickMark val="out"/>
        <c:minorTickMark val="none"/>
        <c:tickLblPos val="nextTo"/>
        <c:crossAx val="189196544"/>
        <c:crosses val="autoZero"/>
        <c:auto val="1"/>
        <c:lblAlgn val="ctr"/>
        <c:lblOffset val="100"/>
        <c:noMultiLvlLbl val="0"/>
      </c:catAx>
      <c:valAx>
        <c:axId val="189196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95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Calculator'!$AD$11</c:f>
              <c:numCache>
                <c:formatCode>General</c:formatCode>
                <c:ptCount val="1"/>
                <c:pt idx="0">
                  <c:v>41</c:v>
                </c:pt>
              </c:numCache>
            </c:numRef>
          </c:val>
          <c:extLst>
            <c:ext xmlns:c16="http://schemas.microsoft.com/office/drawing/2014/chart" uri="{C3380CC4-5D6E-409C-BE32-E72D297353CC}">
              <c16:uniqueId val="{00000000-A488-40D5-A975-CF5D1472255B}"/>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Calculator'!$AC$11</c:f>
              <c:numCache>
                <c:formatCode>General</c:formatCode>
                <c:ptCount val="1"/>
                <c:pt idx="0">
                  <c:v>9</c:v>
                </c:pt>
              </c:numCache>
            </c:numRef>
          </c:val>
          <c:extLst>
            <c:ext xmlns:c16="http://schemas.microsoft.com/office/drawing/2014/chart" uri="{C3380CC4-5D6E-409C-BE32-E72D297353CC}">
              <c16:uniqueId val="{00000001-A488-40D5-A975-CF5D1472255B}"/>
            </c:ext>
          </c:extLst>
        </c:ser>
        <c:dLbls>
          <c:showLegendKey val="0"/>
          <c:showVal val="0"/>
          <c:showCatName val="0"/>
          <c:showSerName val="0"/>
          <c:showPercent val="0"/>
          <c:showBubbleSize val="0"/>
        </c:dLbls>
        <c:gapWidth val="0"/>
        <c:overlap val="-50"/>
        <c:axId val="190283776"/>
        <c:axId val="190285312"/>
      </c:barChart>
      <c:catAx>
        <c:axId val="190283776"/>
        <c:scaling>
          <c:orientation val="minMax"/>
        </c:scaling>
        <c:delete val="1"/>
        <c:axPos val="l"/>
        <c:majorTickMark val="out"/>
        <c:minorTickMark val="none"/>
        <c:tickLblPos val="nextTo"/>
        <c:crossAx val="190285312"/>
        <c:crosses val="autoZero"/>
        <c:auto val="1"/>
        <c:lblAlgn val="ctr"/>
        <c:lblOffset val="100"/>
        <c:noMultiLvlLbl val="0"/>
      </c:catAx>
      <c:valAx>
        <c:axId val="190285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8377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Calculator'!$AD$12</c:f>
              <c:numCache>
                <c:formatCode>General</c:formatCode>
                <c:ptCount val="1"/>
                <c:pt idx="0">
                  <c:v>2</c:v>
                </c:pt>
              </c:numCache>
            </c:numRef>
          </c:val>
          <c:extLst>
            <c:ext xmlns:c16="http://schemas.microsoft.com/office/drawing/2014/chart" uri="{C3380CC4-5D6E-409C-BE32-E72D297353CC}">
              <c16:uniqueId val="{00000000-98B1-424F-BDB4-FEBCE41E6DAC}"/>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Calculator'!$AC$12</c:f>
              <c:numCache>
                <c:formatCode>General</c:formatCode>
                <c:ptCount val="1"/>
                <c:pt idx="0">
                  <c:v>48</c:v>
                </c:pt>
              </c:numCache>
            </c:numRef>
          </c:val>
          <c:extLst>
            <c:ext xmlns:c16="http://schemas.microsoft.com/office/drawing/2014/chart" uri="{C3380CC4-5D6E-409C-BE32-E72D297353CC}">
              <c16:uniqueId val="{00000001-98B1-424F-BDB4-FEBCE41E6DAC}"/>
            </c:ext>
          </c:extLst>
        </c:ser>
        <c:dLbls>
          <c:showLegendKey val="0"/>
          <c:showVal val="0"/>
          <c:showCatName val="0"/>
          <c:showSerName val="0"/>
          <c:showPercent val="0"/>
          <c:showBubbleSize val="0"/>
        </c:dLbls>
        <c:gapWidth val="0"/>
        <c:overlap val="-50"/>
        <c:axId val="190315520"/>
        <c:axId val="190317312"/>
      </c:barChart>
      <c:catAx>
        <c:axId val="190315520"/>
        <c:scaling>
          <c:orientation val="minMax"/>
        </c:scaling>
        <c:delete val="1"/>
        <c:axPos val="l"/>
        <c:majorTickMark val="out"/>
        <c:minorTickMark val="none"/>
        <c:tickLblPos val="nextTo"/>
        <c:crossAx val="190317312"/>
        <c:crosses val="autoZero"/>
        <c:auto val="1"/>
        <c:lblAlgn val="ctr"/>
        <c:lblOffset val="100"/>
        <c:noMultiLvlLbl val="0"/>
      </c:catAx>
      <c:valAx>
        <c:axId val="190317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15520"/>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8064516129031E-2"/>
          <c:y val="5.3191765665338606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Calculator'!$AD$13</c:f>
              <c:numCache>
                <c:formatCode>General</c:formatCode>
                <c:ptCount val="1"/>
                <c:pt idx="0">
                  <c:v>45</c:v>
                </c:pt>
              </c:numCache>
            </c:numRef>
          </c:val>
          <c:extLst>
            <c:ext xmlns:c16="http://schemas.microsoft.com/office/drawing/2014/chart" uri="{C3380CC4-5D6E-409C-BE32-E72D297353CC}">
              <c16:uniqueId val="{00000000-3D95-4F39-B234-39E4C5598FE3}"/>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Calculator'!$AC$13</c:f>
              <c:numCache>
                <c:formatCode>General</c:formatCode>
                <c:ptCount val="1"/>
                <c:pt idx="0">
                  <c:v>5</c:v>
                </c:pt>
              </c:numCache>
            </c:numRef>
          </c:val>
          <c:extLst>
            <c:ext xmlns:c16="http://schemas.microsoft.com/office/drawing/2014/chart" uri="{C3380CC4-5D6E-409C-BE32-E72D297353CC}">
              <c16:uniqueId val="{00000001-3D95-4F39-B234-39E4C5598FE3}"/>
            </c:ext>
          </c:extLst>
        </c:ser>
        <c:dLbls>
          <c:showLegendKey val="0"/>
          <c:showVal val="0"/>
          <c:showCatName val="0"/>
          <c:showSerName val="0"/>
          <c:showPercent val="0"/>
          <c:showBubbleSize val="0"/>
        </c:dLbls>
        <c:gapWidth val="0"/>
        <c:overlap val="-50"/>
        <c:axId val="190355712"/>
        <c:axId val="190369792"/>
      </c:barChart>
      <c:catAx>
        <c:axId val="190355712"/>
        <c:scaling>
          <c:orientation val="minMax"/>
        </c:scaling>
        <c:delete val="1"/>
        <c:axPos val="l"/>
        <c:majorTickMark val="out"/>
        <c:minorTickMark val="none"/>
        <c:tickLblPos val="nextTo"/>
        <c:crossAx val="190369792"/>
        <c:crosses val="autoZero"/>
        <c:auto val="1"/>
        <c:lblAlgn val="ctr"/>
        <c:lblOffset val="100"/>
        <c:noMultiLvlLbl val="0"/>
      </c:catAx>
      <c:valAx>
        <c:axId val="190369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55712"/>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Calculator'!$AD$14</c:f>
              <c:numCache>
                <c:formatCode>General</c:formatCode>
                <c:ptCount val="1"/>
                <c:pt idx="0">
                  <c:v>21</c:v>
                </c:pt>
              </c:numCache>
            </c:numRef>
          </c:val>
          <c:extLst>
            <c:ext xmlns:c16="http://schemas.microsoft.com/office/drawing/2014/chart" uri="{C3380CC4-5D6E-409C-BE32-E72D297353CC}">
              <c16:uniqueId val="{00000000-EBCC-43A3-A963-4FD7FB8B879D}"/>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BCC-43A3-A963-4FD7FB8B879D}"/>
                </c:ext>
              </c:extLst>
            </c:dLbl>
            <c:spPr>
              <a:noFill/>
              <a:ln w="25400">
                <a:noFill/>
              </a:ln>
            </c:spPr>
            <c:txPr>
              <a:bodyPr/>
              <a:lstStyle/>
              <a:p>
                <a:pPr>
                  <a:defRPr sz="2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Calculator'!$AC$14</c:f>
              <c:numCache>
                <c:formatCode>General</c:formatCode>
                <c:ptCount val="1"/>
                <c:pt idx="0">
                  <c:v>29</c:v>
                </c:pt>
              </c:numCache>
            </c:numRef>
          </c:val>
          <c:extLst>
            <c:ext xmlns:c16="http://schemas.microsoft.com/office/drawing/2014/chart" uri="{C3380CC4-5D6E-409C-BE32-E72D297353CC}">
              <c16:uniqueId val="{00000002-EBCC-43A3-A963-4FD7FB8B879D}"/>
            </c:ext>
          </c:extLst>
        </c:ser>
        <c:dLbls>
          <c:showLegendKey val="0"/>
          <c:showVal val="0"/>
          <c:showCatName val="0"/>
          <c:showSerName val="0"/>
          <c:showPercent val="0"/>
          <c:showBubbleSize val="0"/>
        </c:dLbls>
        <c:gapWidth val="0"/>
        <c:overlap val="-50"/>
        <c:axId val="190805504"/>
        <c:axId val="190807040"/>
      </c:barChart>
      <c:catAx>
        <c:axId val="190805504"/>
        <c:scaling>
          <c:orientation val="minMax"/>
        </c:scaling>
        <c:delete val="1"/>
        <c:axPos val="l"/>
        <c:majorTickMark val="out"/>
        <c:minorTickMark val="none"/>
        <c:tickLblPos val="nextTo"/>
        <c:crossAx val="190807040"/>
        <c:crosses val="autoZero"/>
        <c:auto val="1"/>
        <c:lblAlgn val="ctr"/>
        <c:lblOffset val="100"/>
        <c:noMultiLvlLbl val="0"/>
      </c:catAx>
      <c:valAx>
        <c:axId val="190807040"/>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805504"/>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684862473188715E-2"/>
          <c:y val="2.2393274314859287E-3"/>
          <c:w val="0.96456692913385822"/>
          <c:h val="0.84883720930232553"/>
        </c:manualLayout>
      </c:layout>
      <c:barChart>
        <c:barDir val="bar"/>
        <c:grouping val="clustered"/>
        <c:varyColors val="0"/>
        <c:ser>
          <c:idx val="0"/>
          <c:order val="0"/>
          <c:tx>
            <c:v>Total Standouts</c:v>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Calculator'!$V$23</c:f>
              <c:numCache>
                <c:formatCode>General</c:formatCode>
                <c:ptCount val="1"/>
                <c:pt idx="0">
                  <c:v>50</c:v>
                </c:pt>
              </c:numCache>
            </c:numRef>
          </c:val>
          <c:extLst>
            <c:ext xmlns:c16="http://schemas.microsoft.com/office/drawing/2014/chart" uri="{C3380CC4-5D6E-409C-BE32-E72D297353CC}">
              <c16:uniqueId val="{00000000-BBC8-4530-B479-CA4BB113E88B}"/>
            </c:ext>
          </c:extLst>
        </c:ser>
        <c:ser>
          <c:idx val="2"/>
          <c:order val="1"/>
          <c:tx>
            <c:v>Total Recd</c:v>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Calculator'!$V$22</c:f>
              <c:numCache>
                <c:formatCode>General</c:formatCode>
                <c:ptCount val="1"/>
                <c:pt idx="0">
                  <c:v>50</c:v>
                </c:pt>
              </c:numCache>
            </c:numRef>
          </c:val>
          <c:extLst>
            <c:ext xmlns:c16="http://schemas.microsoft.com/office/drawing/2014/chart" uri="{C3380CC4-5D6E-409C-BE32-E72D297353CC}">
              <c16:uniqueId val="{00000001-BBC8-4530-B479-CA4BB113E88B}"/>
            </c:ext>
          </c:extLst>
        </c:ser>
        <c:ser>
          <c:idx val="1"/>
          <c:order val="2"/>
          <c:tx>
            <c:v>Total Tipsters</c:v>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Calculator'!$V$21</c:f>
              <c:numCache>
                <c:formatCode>General</c:formatCode>
                <c:ptCount val="1"/>
                <c:pt idx="0">
                  <c:v>50</c:v>
                </c:pt>
              </c:numCache>
            </c:numRef>
          </c:val>
          <c:extLst>
            <c:ext xmlns:c16="http://schemas.microsoft.com/office/drawing/2014/chart" uri="{C3380CC4-5D6E-409C-BE32-E72D297353CC}">
              <c16:uniqueId val="{00000002-BBC8-4530-B479-CA4BB113E88B}"/>
            </c:ext>
          </c:extLst>
        </c:ser>
        <c:dLbls>
          <c:showLegendKey val="0"/>
          <c:showVal val="0"/>
          <c:showCatName val="0"/>
          <c:showSerName val="0"/>
          <c:showPercent val="0"/>
          <c:showBubbleSize val="0"/>
        </c:dLbls>
        <c:gapWidth val="0"/>
        <c:axId val="190830848"/>
        <c:axId val="190861312"/>
      </c:barChart>
      <c:catAx>
        <c:axId val="190830848"/>
        <c:scaling>
          <c:orientation val="minMax"/>
        </c:scaling>
        <c:delete val="1"/>
        <c:axPos val="l"/>
        <c:majorTickMark val="out"/>
        <c:minorTickMark val="none"/>
        <c:tickLblPos val="nextTo"/>
        <c:crossAx val="190861312"/>
        <c:crosses val="autoZero"/>
        <c:auto val="1"/>
        <c:lblAlgn val="ctr"/>
        <c:lblOffset val="100"/>
        <c:noMultiLvlLbl val="0"/>
      </c:catAx>
      <c:valAx>
        <c:axId val="190861312"/>
        <c:scaling>
          <c:orientation val="minMax"/>
          <c:max val="60"/>
          <c:min val="0"/>
        </c:scaling>
        <c:delete val="1"/>
        <c:axPos val="b"/>
        <c:numFmt formatCode="General" sourceLinked="1"/>
        <c:majorTickMark val="out"/>
        <c:minorTickMark val="none"/>
        <c:tickLblPos val="nextTo"/>
        <c:crossAx val="190830848"/>
        <c:crosses val="autoZero"/>
        <c:crossBetween val="between"/>
        <c:majorUnit val="250"/>
        <c:minorUnit val="1"/>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png"/><Relationship Id="rId18" Type="http://schemas.openxmlformats.org/officeDocument/2006/relationships/image" Target="../media/image8.png"/><Relationship Id="rId26" Type="http://schemas.openxmlformats.org/officeDocument/2006/relationships/image" Target="../media/image16.png"/><Relationship Id="rId3" Type="http://schemas.openxmlformats.org/officeDocument/2006/relationships/chart" Target="../charts/chart3.xml"/><Relationship Id="rId21" Type="http://schemas.openxmlformats.org/officeDocument/2006/relationships/image" Target="../media/image11.png"/><Relationship Id="rId7" Type="http://schemas.openxmlformats.org/officeDocument/2006/relationships/chart" Target="../charts/chart7.xml"/><Relationship Id="rId12" Type="http://schemas.openxmlformats.org/officeDocument/2006/relationships/image" Target="../media/image2.png"/><Relationship Id="rId17" Type="http://schemas.openxmlformats.org/officeDocument/2006/relationships/image" Target="../media/image7.png"/><Relationship Id="rId25" Type="http://schemas.openxmlformats.org/officeDocument/2006/relationships/image" Target="../media/image15.png"/><Relationship Id="rId2" Type="http://schemas.openxmlformats.org/officeDocument/2006/relationships/chart" Target="../charts/chart2.xml"/><Relationship Id="rId16" Type="http://schemas.openxmlformats.org/officeDocument/2006/relationships/image" Target="../media/image6.png"/><Relationship Id="rId20"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24" Type="http://schemas.openxmlformats.org/officeDocument/2006/relationships/image" Target="../media/image14.png"/><Relationship Id="rId5" Type="http://schemas.openxmlformats.org/officeDocument/2006/relationships/chart" Target="../charts/chart5.xml"/><Relationship Id="rId15" Type="http://schemas.openxmlformats.org/officeDocument/2006/relationships/image" Target="../media/image5.png"/><Relationship Id="rId23" Type="http://schemas.openxmlformats.org/officeDocument/2006/relationships/image" Target="../media/image13.png"/><Relationship Id="rId28" Type="http://schemas.openxmlformats.org/officeDocument/2006/relationships/image" Target="../media/image18.png"/><Relationship Id="rId10" Type="http://schemas.openxmlformats.org/officeDocument/2006/relationships/chart" Target="../charts/chart10.xml"/><Relationship Id="rId19" Type="http://schemas.openxmlformats.org/officeDocument/2006/relationships/image" Target="../media/image9.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4.png"/><Relationship Id="rId22" Type="http://schemas.openxmlformats.org/officeDocument/2006/relationships/image" Target="../media/image12.png"/><Relationship Id="rId27"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2.png"/><Relationship Id="rId3" Type="http://schemas.openxmlformats.org/officeDocument/2006/relationships/image" Target="../media/image15.png"/><Relationship Id="rId7" Type="http://schemas.openxmlformats.org/officeDocument/2006/relationships/image" Target="../media/image7.png"/><Relationship Id="rId12" Type="http://schemas.openxmlformats.org/officeDocument/2006/relationships/image" Target="../media/image18.png"/><Relationship Id="rId17" Type="http://schemas.openxmlformats.org/officeDocument/2006/relationships/image" Target="../media/image19.png"/><Relationship Id="rId2" Type="http://schemas.openxmlformats.org/officeDocument/2006/relationships/image" Target="../media/image16.png"/><Relationship Id="rId16" Type="http://schemas.openxmlformats.org/officeDocument/2006/relationships/image" Target="../media/image4.png"/><Relationship Id="rId1" Type="http://schemas.openxmlformats.org/officeDocument/2006/relationships/image" Target="../media/image17.png"/><Relationship Id="rId6" Type="http://schemas.openxmlformats.org/officeDocument/2006/relationships/image" Target="../media/image11.png"/><Relationship Id="rId11" Type="http://schemas.openxmlformats.org/officeDocument/2006/relationships/image" Target="../media/image14.png"/><Relationship Id="rId5" Type="http://schemas.openxmlformats.org/officeDocument/2006/relationships/image" Target="../media/image5.png"/><Relationship Id="rId15" Type="http://schemas.openxmlformats.org/officeDocument/2006/relationships/image" Target="../media/image8.png"/><Relationship Id="rId10" Type="http://schemas.openxmlformats.org/officeDocument/2006/relationships/image" Target="../media/image6.png"/><Relationship Id="rId4" Type="http://schemas.openxmlformats.org/officeDocument/2006/relationships/image" Target="../media/image13.png"/><Relationship Id="rId9" Type="http://schemas.openxmlformats.org/officeDocument/2006/relationships/image" Target="../media/image10.png"/><Relationship Id="rId1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14</xdr:col>
      <xdr:colOff>12700</xdr:colOff>
      <xdr:row>31</xdr:row>
      <xdr:rowOff>76200</xdr:rowOff>
    </xdr:from>
    <xdr:to>
      <xdr:col>15</xdr:col>
      <xdr:colOff>698500</xdr:colOff>
      <xdr:row>36</xdr:row>
      <xdr:rowOff>139700</xdr:rowOff>
    </xdr:to>
    <xdr:graphicFrame macro="">
      <xdr:nvGraphicFramePr>
        <xdr:cNvPr id="2" name="Chart 7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22</xdr:row>
      <xdr:rowOff>38100</xdr:rowOff>
    </xdr:from>
    <xdr:to>
      <xdr:col>15</xdr:col>
      <xdr:colOff>711200</xdr:colOff>
      <xdr:row>27</xdr:row>
      <xdr:rowOff>107950</xdr:rowOff>
    </xdr:to>
    <xdr:graphicFrame macro="">
      <xdr:nvGraphicFramePr>
        <xdr:cNvPr id="3" name="Chart 7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12700</xdr:colOff>
      <xdr:row>13</xdr:row>
      <xdr:rowOff>57150</xdr:rowOff>
    </xdr:from>
    <xdr:to>
      <xdr:col>15</xdr:col>
      <xdr:colOff>717550</xdr:colOff>
      <xdr:row>18</xdr:row>
      <xdr:rowOff>139700</xdr:rowOff>
    </xdr:to>
    <xdr:graphicFrame macro="">
      <xdr:nvGraphicFramePr>
        <xdr:cNvPr id="4" name="Chart 7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4</xdr:row>
      <xdr:rowOff>57150</xdr:rowOff>
    </xdr:from>
    <xdr:to>
      <xdr:col>15</xdr:col>
      <xdr:colOff>736600</xdr:colOff>
      <xdr:row>9</xdr:row>
      <xdr:rowOff>152400</xdr:rowOff>
    </xdr:to>
    <xdr:graphicFrame macro="">
      <xdr:nvGraphicFramePr>
        <xdr:cNvPr id="5" name="Chart 7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12700</xdr:colOff>
      <xdr:row>31</xdr:row>
      <xdr:rowOff>76200</xdr:rowOff>
    </xdr:from>
    <xdr:to>
      <xdr:col>9</xdr:col>
      <xdr:colOff>698500</xdr:colOff>
      <xdr:row>36</xdr:row>
      <xdr:rowOff>139700</xdr:rowOff>
    </xdr:to>
    <xdr:graphicFrame macro="">
      <xdr:nvGraphicFramePr>
        <xdr:cNvPr id="6" name="Chart 8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22</xdr:row>
      <xdr:rowOff>38100</xdr:rowOff>
    </xdr:from>
    <xdr:to>
      <xdr:col>9</xdr:col>
      <xdr:colOff>711200</xdr:colOff>
      <xdr:row>27</xdr:row>
      <xdr:rowOff>107950</xdr:rowOff>
    </xdr:to>
    <xdr:graphicFrame macro="">
      <xdr:nvGraphicFramePr>
        <xdr:cNvPr id="7" name="Chart 8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13</xdr:row>
      <xdr:rowOff>57150</xdr:rowOff>
    </xdr:from>
    <xdr:to>
      <xdr:col>9</xdr:col>
      <xdr:colOff>717550</xdr:colOff>
      <xdr:row>18</xdr:row>
      <xdr:rowOff>139700</xdr:rowOff>
    </xdr:to>
    <xdr:graphicFrame macro="">
      <xdr:nvGraphicFramePr>
        <xdr:cNvPr id="8" name="Chart 8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19050</xdr:colOff>
      <xdr:row>4</xdr:row>
      <xdr:rowOff>57150</xdr:rowOff>
    </xdr:from>
    <xdr:to>
      <xdr:col>9</xdr:col>
      <xdr:colOff>736600</xdr:colOff>
      <xdr:row>9</xdr:row>
      <xdr:rowOff>152400</xdr:rowOff>
    </xdr:to>
    <xdr:graphicFrame macro="">
      <xdr:nvGraphicFramePr>
        <xdr:cNvPr id="9" name="Chart 8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482600</xdr:colOff>
      <xdr:row>3</xdr:row>
      <xdr:rowOff>62090</xdr:rowOff>
    </xdr:from>
    <xdr:to>
      <xdr:col>5</xdr:col>
      <xdr:colOff>63500</xdr:colOff>
      <xdr:row>8</xdr:row>
      <xdr:rowOff>95956</xdr:rowOff>
    </xdr:to>
    <xdr:graphicFrame macro="">
      <xdr:nvGraphicFramePr>
        <xdr:cNvPr id="10" name="Chart 284">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241300</xdr:colOff>
      <xdr:row>12</xdr:row>
      <xdr:rowOff>65616</xdr:rowOff>
    </xdr:from>
    <xdr:to>
      <xdr:col>4</xdr:col>
      <xdr:colOff>2101850</xdr:colOff>
      <xdr:row>29</xdr:row>
      <xdr:rowOff>65616</xdr:rowOff>
    </xdr:to>
    <xdr:graphicFrame macro="">
      <xdr:nvGraphicFramePr>
        <xdr:cNvPr id="11" name="Chart 285">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74083</xdr:colOff>
      <xdr:row>1</xdr:row>
      <xdr:rowOff>95250</xdr:rowOff>
    </xdr:from>
    <xdr:to>
      <xdr:col>4</xdr:col>
      <xdr:colOff>940813</xdr:colOff>
      <xdr:row>1</xdr:row>
      <xdr:rowOff>1068916</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7000" y="148167"/>
          <a:ext cx="2820413" cy="973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412750</xdr:colOff>
      <xdr:row>1</xdr:row>
      <xdr:rowOff>21167</xdr:rowOff>
    </xdr:from>
    <xdr:to>
      <xdr:col>17</xdr:col>
      <xdr:colOff>48809</xdr:colOff>
      <xdr:row>2</xdr:row>
      <xdr:rowOff>47684</xdr:rowOff>
    </xdr:to>
    <xdr:pic>
      <xdr:nvPicPr>
        <xdr:cNvPr id="13" name="Picture 12">
          <a:extLst>
            <a:ext uri="{FF2B5EF4-FFF2-40B4-BE49-F238E27FC236}">
              <a16:creationId xmlns:a16="http://schemas.microsoft.com/office/drawing/2014/main" id="{AA27CE7A-92E9-4AE9-9B3C-6A08C9D45444}"/>
            </a:ext>
          </a:extLst>
        </xdr:cNvPr>
        <xdr:cNvPicPr>
          <a:picLocks noChangeAspect="1"/>
        </xdr:cNvPicPr>
      </xdr:nvPicPr>
      <xdr:blipFill>
        <a:blip xmlns:r="http://schemas.openxmlformats.org/officeDocument/2006/relationships" r:embed="rId12"/>
        <a:stretch>
          <a:fillRect/>
        </a:stretch>
      </xdr:blipFill>
      <xdr:spPr>
        <a:xfrm>
          <a:off x="8191500" y="74084"/>
          <a:ext cx="2448051" cy="1130358"/>
        </a:xfrm>
        <a:prstGeom prst="rect">
          <a:avLst/>
        </a:prstGeom>
      </xdr:spPr>
    </xdr:pic>
    <xdr:clientData/>
  </xdr:twoCellAnchor>
  <xdr:twoCellAnchor editAs="oneCell">
    <xdr:from>
      <xdr:col>7</xdr:col>
      <xdr:colOff>82551</xdr:colOff>
      <xdr:row>4</xdr:row>
      <xdr:rowOff>15876</xdr:rowOff>
    </xdr:from>
    <xdr:to>
      <xdr:col>7</xdr:col>
      <xdr:colOff>544033</xdr:colOff>
      <xdr:row>6</xdr:row>
      <xdr:rowOff>85725</xdr:rowOff>
    </xdr:to>
    <xdr:pic>
      <xdr:nvPicPr>
        <xdr:cNvPr id="14" name="Picture 13">
          <a:extLst>
            <a:ext uri="{FF2B5EF4-FFF2-40B4-BE49-F238E27FC236}">
              <a16:creationId xmlns:a16="http://schemas.microsoft.com/office/drawing/2014/main" id="{CE056E7D-5798-4D41-9EF9-A5F0B54FFF5D}"/>
            </a:ext>
          </a:extLst>
        </xdr:cNvPr>
        <xdr:cNvPicPr>
          <a:picLocks noChangeAspect="1"/>
        </xdr:cNvPicPr>
      </xdr:nvPicPr>
      <xdr:blipFill>
        <a:blip xmlns:r="http://schemas.openxmlformats.org/officeDocument/2006/relationships" r:embed="rId13"/>
        <a:stretch>
          <a:fillRect/>
        </a:stretch>
      </xdr:blipFill>
      <xdr:spPr>
        <a:xfrm>
          <a:off x="698501" y="73026"/>
          <a:ext cx="458307" cy="441324"/>
        </a:xfrm>
        <a:prstGeom prst="rect">
          <a:avLst/>
        </a:prstGeom>
      </xdr:spPr>
    </xdr:pic>
    <xdr:clientData/>
  </xdr:twoCellAnchor>
  <xdr:twoCellAnchor editAs="oneCell">
    <xdr:from>
      <xdr:col>7</xdr:col>
      <xdr:colOff>63500</xdr:colOff>
      <xdr:row>7</xdr:row>
      <xdr:rowOff>38100</xdr:rowOff>
    </xdr:from>
    <xdr:to>
      <xdr:col>7</xdr:col>
      <xdr:colOff>457200</xdr:colOff>
      <xdr:row>9</xdr:row>
      <xdr:rowOff>142875</xdr:rowOff>
    </xdr:to>
    <xdr:pic>
      <xdr:nvPicPr>
        <xdr:cNvPr id="15" name="Picture 2">
          <a:extLst>
            <a:ext uri="{FF2B5EF4-FFF2-40B4-BE49-F238E27FC236}">
              <a16:creationId xmlns:a16="http://schemas.microsoft.com/office/drawing/2014/main" id="{A14F8218-3705-4485-90DC-243278685BA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3500" y="571500"/>
          <a:ext cx="3937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13</xdr:row>
      <xdr:rowOff>12700</xdr:rowOff>
    </xdr:from>
    <xdr:to>
      <xdr:col>7</xdr:col>
      <xdr:colOff>546100</xdr:colOff>
      <xdr:row>15</xdr:row>
      <xdr:rowOff>146050</xdr:rowOff>
    </xdr:to>
    <xdr:pic>
      <xdr:nvPicPr>
        <xdr:cNvPr id="16" name="Picture 98">
          <a:extLst>
            <a:ext uri="{FF2B5EF4-FFF2-40B4-BE49-F238E27FC236}">
              <a16:creationId xmlns:a16="http://schemas.microsoft.com/office/drawing/2014/main" id="{0949AD57-715A-42BA-B226-DF403C46C7FF}"/>
            </a:ext>
          </a:extLst>
        </xdr:cNvPr>
        <xdr:cNvPicPr preferRelativeResize="0">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11200" y="5461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82551</xdr:colOff>
      <xdr:row>16</xdr:row>
      <xdr:rowOff>19051</xdr:rowOff>
    </xdr:from>
    <xdr:to>
      <xdr:col>7</xdr:col>
      <xdr:colOff>520700</xdr:colOff>
      <xdr:row>18</xdr:row>
      <xdr:rowOff>139700</xdr:rowOff>
    </xdr:to>
    <xdr:pic>
      <xdr:nvPicPr>
        <xdr:cNvPr id="17" name="Picture 16">
          <a:extLst>
            <a:ext uri="{FF2B5EF4-FFF2-40B4-BE49-F238E27FC236}">
              <a16:creationId xmlns:a16="http://schemas.microsoft.com/office/drawing/2014/main" id="{B7DCFDB3-762D-4D19-9C07-DAD68AB9BB7D}"/>
            </a:ext>
          </a:extLst>
        </xdr:cNvPr>
        <xdr:cNvPicPr>
          <a:picLocks noChangeAspect="1"/>
        </xdr:cNvPicPr>
      </xdr:nvPicPr>
      <xdr:blipFill>
        <a:blip xmlns:r="http://schemas.openxmlformats.org/officeDocument/2006/relationships" r:embed="rId16"/>
        <a:stretch>
          <a:fillRect/>
        </a:stretch>
      </xdr:blipFill>
      <xdr:spPr>
        <a:xfrm>
          <a:off x="82551" y="2933701"/>
          <a:ext cx="438149" cy="438149"/>
        </a:xfrm>
        <a:prstGeom prst="rect">
          <a:avLst/>
        </a:prstGeom>
      </xdr:spPr>
    </xdr:pic>
    <xdr:clientData/>
  </xdr:twoCellAnchor>
  <xdr:twoCellAnchor>
    <xdr:from>
      <xdr:col>7</xdr:col>
      <xdr:colOff>114300</xdr:colOff>
      <xdr:row>22</xdr:row>
      <xdr:rowOff>19050</xdr:rowOff>
    </xdr:from>
    <xdr:to>
      <xdr:col>7</xdr:col>
      <xdr:colOff>558800</xdr:colOff>
      <xdr:row>24</xdr:row>
      <xdr:rowOff>146050</xdr:rowOff>
    </xdr:to>
    <xdr:pic>
      <xdr:nvPicPr>
        <xdr:cNvPr id="18" name="Picture 39">
          <a:extLst>
            <a:ext uri="{FF2B5EF4-FFF2-40B4-BE49-F238E27FC236}">
              <a16:creationId xmlns:a16="http://schemas.microsoft.com/office/drawing/2014/main" id="{DD01CC28-B87C-4189-A369-9585DBDF698B}"/>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30250" y="19812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57150</xdr:colOff>
      <xdr:row>25</xdr:row>
      <xdr:rowOff>76200</xdr:rowOff>
    </xdr:from>
    <xdr:to>
      <xdr:col>7</xdr:col>
      <xdr:colOff>476250</xdr:colOff>
      <xdr:row>27</xdr:row>
      <xdr:rowOff>104775</xdr:rowOff>
    </xdr:to>
    <xdr:pic>
      <xdr:nvPicPr>
        <xdr:cNvPr id="19" name="Picture 5">
          <a:extLst>
            <a:ext uri="{FF2B5EF4-FFF2-40B4-BE49-F238E27FC236}">
              <a16:creationId xmlns:a16="http://schemas.microsoft.com/office/drawing/2014/main" id="{00D04036-EEA5-4AB6-A082-DF4A223AADAD}"/>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57150" y="133350"/>
          <a:ext cx="419100" cy="39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31</xdr:row>
      <xdr:rowOff>19050</xdr:rowOff>
    </xdr:from>
    <xdr:to>
      <xdr:col>7</xdr:col>
      <xdr:colOff>546100</xdr:colOff>
      <xdr:row>33</xdr:row>
      <xdr:rowOff>152400</xdr:rowOff>
    </xdr:to>
    <xdr:pic>
      <xdr:nvPicPr>
        <xdr:cNvPr id="20" name="Picture 19">
          <a:extLst>
            <a:ext uri="{FF2B5EF4-FFF2-40B4-BE49-F238E27FC236}">
              <a16:creationId xmlns:a16="http://schemas.microsoft.com/office/drawing/2014/main" id="{18AF685D-7634-4F11-AB14-7CD77B5BC645}"/>
            </a:ext>
          </a:extLst>
        </xdr:cNvPr>
        <xdr:cNvPicPr>
          <a:picLocks noChangeAspect="1"/>
        </xdr:cNvPicPr>
      </xdr:nvPicPr>
      <xdr:blipFill>
        <a:blip xmlns:r="http://schemas.openxmlformats.org/officeDocument/2006/relationships" r:embed="rId19"/>
        <a:stretch>
          <a:fillRect/>
        </a:stretch>
      </xdr:blipFill>
      <xdr:spPr>
        <a:xfrm>
          <a:off x="95250" y="2457450"/>
          <a:ext cx="450850" cy="450850"/>
        </a:xfrm>
        <a:prstGeom prst="rect">
          <a:avLst/>
        </a:prstGeom>
      </xdr:spPr>
    </xdr:pic>
    <xdr:clientData/>
  </xdr:twoCellAnchor>
  <xdr:twoCellAnchor>
    <xdr:from>
      <xdr:col>7</xdr:col>
      <xdr:colOff>107950</xdr:colOff>
      <xdr:row>34</xdr:row>
      <xdr:rowOff>31750</xdr:rowOff>
    </xdr:from>
    <xdr:to>
      <xdr:col>7</xdr:col>
      <xdr:colOff>533400</xdr:colOff>
      <xdr:row>36</xdr:row>
      <xdr:rowOff>139700</xdr:rowOff>
    </xdr:to>
    <xdr:pic>
      <xdr:nvPicPr>
        <xdr:cNvPr id="21" name="Picture 20">
          <a:extLst>
            <a:ext uri="{FF2B5EF4-FFF2-40B4-BE49-F238E27FC236}">
              <a16:creationId xmlns:a16="http://schemas.microsoft.com/office/drawing/2014/main" id="{62E53881-CDD5-4EE0-BB8C-8F8E36E9212C}"/>
            </a:ext>
          </a:extLst>
        </xdr:cNvPr>
        <xdr:cNvPicPr>
          <a:picLocks noChangeAspect="1"/>
        </xdr:cNvPicPr>
      </xdr:nvPicPr>
      <xdr:blipFill>
        <a:blip xmlns:r="http://schemas.openxmlformats.org/officeDocument/2006/relationships" r:embed="rId20"/>
        <a:stretch>
          <a:fillRect/>
        </a:stretch>
      </xdr:blipFill>
      <xdr:spPr>
        <a:xfrm>
          <a:off x="723900" y="2470150"/>
          <a:ext cx="425450" cy="425450"/>
        </a:xfrm>
        <a:prstGeom prst="rect">
          <a:avLst/>
        </a:prstGeom>
      </xdr:spPr>
    </xdr:pic>
    <xdr:clientData/>
  </xdr:twoCellAnchor>
  <xdr:twoCellAnchor>
    <xdr:from>
      <xdr:col>13</xdr:col>
      <xdr:colOff>95250</xdr:colOff>
      <xdr:row>4</xdr:row>
      <xdr:rowOff>19050</xdr:rowOff>
    </xdr:from>
    <xdr:to>
      <xdr:col>13</xdr:col>
      <xdr:colOff>539750</xdr:colOff>
      <xdr:row>6</xdr:row>
      <xdr:rowOff>146050</xdr:rowOff>
    </xdr:to>
    <xdr:pic>
      <xdr:nvPicPr>
        <xdr:cNvPr id="22" name="Picture 100">
          <a:extLst>
            <a:ext uri="{FF2B5EF4-FFF2-40B4-BE49-F238E27FC236}">
              <a16:creationId xmlns:a16="http://schemas.microsoft.com/office/drawing/2014/main" id="{B7EAEC4B-19B7-4BA2-821C-C044D9C8A052}"/>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11200" y="15049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63500</xdr:colOff>
      <xdr:row>7</xdr:row>
      <xdr:rowOff>25400</xdr:rowOff>
    </xdr:from>
    <xdr:to>
      <xdr:col>13</xdr:col>
      <xdr:colOff>552450</xdr:colOff>
      <xdr:row>9</xdr:row>
      <xdr:rowOff>133350</xdr:rowOff>
    </xdr:to>
    <xdr:pic>
      <xdr:nvPicPr>
        <xdr:cNvPr id="23" name="Picture 35">
          <a:extLst>
            <a:ext uri="{FF2B5EF4-FFF2-40B4-BE49-F238E27FC236}">
              <a16:creationId xmlns:a16="http://schemas.microsoft.com/office/drawing/2014/main" id="{569ECF63-1B88-4F8B-992E-EC3333DBD8CF}"/>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295400" y="82550"/>
          <a:ext cx="48895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13</xdr:row>
      <xdr:rowOff>19050</xdr:rowOff>
    </xdr:from>
    <xdr:to>
      <xdr:col>13</xdr:col>
      <xdr:colOff>533400</xdr:colOff>
      <xdr:row>15</xdr:row>
      <xdr:rowOff>139700</xdr:rowOff>
    </xdr:to>
    <xdr:pic>
      <xdr:nvPicPr>
        <xdr:cNvPr id="24" name="Picture 96">
          <a:extLst>
            <a:ext uri="{FF2B5EF4-FFF2-40B4-BE49-F238E27FC236}">
              <a16:creationId xmlns:a16="http://schemas.microsoft.com/office/drawing/2014/main" id="{BAB12AE4-AA95-48D3-ABA3-AC9106861B64}"/>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95250" y="34099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88900</xdr:colOff>
      <xdr:row>16</xdr:row>
      <xdr:rowOff>25400</xdr:rowOff>
    </xdr:from>
    <xdr:to>
      <xdr:col>13</xdr:col>
      <xdr:colOff>520700</xdr:colOff>
      <xdr:row>18</xdr:row>
      <xdr:rowOff>139700</xdr:rowOff>
    </xdr:to>
    <xdr:pic>
      <xdr:nvPicPr>
        <xdr:cNvPr id="25" name="Picture 24">
          <a:extLst>
            <a:ext uri="{FF2B5EF4-FFF2-40B4-BE49-F238E27FC236}">
              <a16:creationId xmlns:a16="http://schemas.microsoft.com/office/drawing/2014/main" id="{712FA8D0-F08B-40C9-8CAF-5EAAC6B8E9B7}"/>
            </a:ext>
          </a:extLst>
        </xdr:cNvPr>
        <xdr:cNvPicPr>
          <a:picLocks noChangeAspect="1"/>
        </xdr:cNvPicPr>
      </xdr:nvPicPr>
      <xdr:blipFill>
        <a:blip xmlns:r="http://schemas.openxmlformats.org/officeDocument/2006/relationships" r:embed="rId24"/>
        <a:stretch>
          <a:fillRect/>
        </a:stretch>
      </xdr:blipFill>
      <xdr:spPr>
        <a:xfrm>
          <a:off x="704850" y="2940050"/>
          <a:ext cx="431800" cy="431800"/>
        </a:xfrm>
        <a:prstGeom prst="rect">
          <a:avLst/>
        </a:prstGeom>
      </xdr:spPr>
    </xdr:pic>
    <xdr:clientData/>
  </xdr:twoCellAnchor>
  <xdr:twoCellAnchor>
    <xdr:from>
      <xdr:col>13</xdr:col>
      <xdr:colOff>95250</xdr:colOff>
      <xdr:row>22</xdr:row>
      <xdr:rowOff>19050</xdr:rowOff>
    </xdr:from>
    <xdr:to>
      <xdr:col>13</xdr:col>
      <xdr:colOff>546100</xdr:colOff>
      <xdr:row>24</xdr:row>
      <xdr:rowOff>152400</xdr:rowOff>
    </xdr:to>
    <xdr:pic>
      <xdr:nvPicPr>
        <xdr:cNvPr id="26" name="Picture 93">
          <a:extLst>
            <a:ext uri="{FF2B5EF4-FFF2-40B4-BE49-F238E27FC236}">
              <a16:creationId xmlns:a16="http://schemas.microsoft.com/office/drawing/2014/main" id="{5D4A07ED-91EA-40D7-A7A4-04A4F2D2CE3A}"/>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5250" y="198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101600</xdr:colOff>
      <xdr:row>25</xdr:row>
      <xdr:rowOff>25400</xdr:rowOff>
    </xdr:from>
    <xdr:to>
      <xdr:col>13</xdr:col>
      <xdr:colOff>539750</xdr:colOff>
      <xdr:row>27</xdr:row>
      <xdr:rowOff>146050</xdr:rowOff>
    </xdr:to>
    <xdr:pic>
      <xdr:nvPicPr>
        <xdr:cNvPr id="27" name="Picture 92">
          <a:extLst>
            <a:ext uri="{FF2B5EF4-FFF2-40B4-BE49-F238E27FC236}">
              <a16:creationId xmlns:a16="http://schemas.microsoft.com/office/drawing/2014/main" id="{E5E8A985-C795-46CC-BCE0-44ABDB5D7FCB}"/>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01600" y="15113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107950</xdr:colOff>
      <xdr:row>31</xdr:row>
      <xdr:rowOff>25400</xdr:rowOff>
    </xdr:from>
    <xdr:to>
      <xdr:col>13</xdr:col>
      <xdr:colOff>539750</xdr:colOff>
      <xdr:row>33</xdr:row>
      <xdr:rowOff>139700</xdr:rowOff>
    </xdr:to>
    <xdr:pic>
      <xdr:nvPicPr>
        <xdr:cNvPr id="28" name="Picture 91">
          <a:extLst>
            <a:ext uri="{FF2B5EF4-FFF2-40B4-BE49-F238E27FC236}">
              <a16:creationId xmlns:a16="http://schemas.microsoft.com/office/drawing/2014/main" id="{1F5452B9-E249-4033-923E-1F3CE0504F67}"/>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07950" y="10350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69850</xdr:colOff>
      <xdr:row>34</xdr:row>
      <xdr:rowOff>12700</xdr:rowOff>
    </xdr:from>
    <xdr:to>
      <xdr:col>13</xdr:col>
      <xdr:colOff>514350</xdr:colOff>
      <xdr:row>36</xdr:row>
      <xdr:rowOff>139700</xdr:rowOff>
    </xdr:to>
    <xdr:pic>
      <xdr:nvPicPr>
        <xdr:cNvPr id="29" name="Picture 28">
          <a:extLst>
            <a:ext uri="{FF2B5EF4-FFF2-40B4-BE49-F238E27FC236}">
              <a16:creationId xmlns:a16="http://schemas.microsoft.com/office/drawing/2014/main" id="{1A9673C9-DE70-4530-8600-66FD69B21339}"/>
            </a:ext>
          </a:extLst>
        </xdr:cNvPr>
        <xdr:cNvPicPr>
          <a:picLocks noChangeAspect="1"/>
        </xdr:cNvPicPr>
      </xdr:nvPicPr>
      <xdr:blipFill>
        <a:blip xmlns:r="http://schemas.openxmlformats.org/officeDocument/2006/relationships" r:embed="rId28"/>
        <a:stretch>
          <a:fillRect/>
        </a:stretch>
      </xdr:blipFill>
      <xdr:spPr>
        <a:xfrm>
          <a:off x="685800" y="3403600"/>
          <a:ext cx="444500" cy="444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101601</xdr:colOff>
      <xdr:row>0</xdr:row>
      <xdr:rowOff>126999</xdr:rowOff>
    </xdr:from>
    <xdr:to>
      <xdr:col>4</xdr:col>
      <xdr:colOff>692150</xdr:colOff>
      <xdr:row>0</xdr:row>
      <xdr:rowOff>988255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1" y="126999"/>
          <a:ext cx="2514599" cy="861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352425</xdr:colOff>
      <xdr:row>0</xdr:row>
      <xdr:rowOff>47625</xdr:rowOff>
    </xdr:from>
    <xdr:to>
      <xdr:col>14</xdr:col>
      <xdr:colOff>190626</xdr:colOff>
      <xdr:row>1</xdr:row>
      <xdr:rowOff>177858</xdr:rowOff>
    </xdr:to>
    <xdr:pic>
      <xdr:nvPicPr>
        <xdr:cNvPr id="3" name="Picture 2">
          <a:extLst>
            <a:ext uri="{FF2B5EF4-FFF2-40B4-BE49-F238E27FC236}">
              <a16:creationId xmlns:a16="http://schemas.microsoft.com/office/drawing/2014/main" id="{E6E04B18-F666-4184-B1E6-C8D1FFA035FC}"/>
            </a:ext>
          </a:extLst>
        </xdr:cNvPr>
        <xdr:cNvPicPr>
          <a:picLocks noChangeAspect="1"/>
        </xdr:cNvPicPr>
      </xdr:nvPicPr>
      <xdr:blipFill>
        <a:blip xmlns:r="http://schemas.openxmlformats.org/officeDocument/2006/relationships" r:embed="rId2"/>
        <a:stretch>
          <a:fillRect/>
        </a:stretch>
      </xdr:blipFill>
      <xdr:spPr>
        <a:xfrm>
          <a:off x="5334000" y="47625"/>
          <a:ext cx="2448051" cy="1133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521713</xdr:colOff>
      <xdr:row>0</xdr:row>
      <xdr:rowOff>1135591</xdr:rowOff>
    </xdr:to>
    <xdr:pic>
      <xdr:nvPicPr>
        <xdr:cNvPr id="3" name="Picture 1">
          <a:extLst>
            <a:ext uri="{FF2B5EF4-FFF2-40B4-BE49-F238E27FC236}">
              <a16:creationId xmlns:a16="http://schemas.microsoft.com/office/drawing/2014/main" id="{778B561F-C6AA-446B-B1F6-AE11FB8F4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61925"/>
          <a:ext cx="2810888" cy="97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0</xdr:row>
      <xdr:rowOff>28575</xdr:rowOff>
    </xdr:from>
    <xdr:to>
      <xdr:col>10</xdr:col>
      <xdr:colOff>771651</xdr:colOff>
      <xdr:row>0</xdr:row>
      <xdr:rowOff>1158933</xdr:rowOff>
    </xdr:to>
    <xdr:pic>
      <xdr:nvPicPr>
        <xdr:cNvPr id="2" name="Picture 1">
          <a:extLst>
            <a:ext uri="{FF2B5EF4-FFF2-40B4-BE49-F238E27FC236}">
              <a16:creationId xmlns:a16="http://schemas.microsoft.com/office/drawing/2014/main" id="{F589FDB5-BA59-40A6-8036-F81CDC37D545}"/>
            </a:ext>
          </a:extLst>
        </xdr:cNvPr>
        <xdr:cNvPicPr>
          <a:picLocks noChangeAspect="1"/>
        </xdr:cNvPicPr>
      </xdr:nvPicPr>
      <xdr:blipFill>
        <a:blip xmlns:r="http://schemas.openxmlformats.org/officeDocument/2006/relationships" r:embed="rId2"/>
        <a:stretch>
          <a:fillRect/>
        </a:stretch>
      </xdr:blipFill>
      <xdr:spPr>
        <a:xfrm>
          <a:off x="6238875" y="28575"/>
          <a:ext cx="2444876" cy="11303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7</xdr:row>
      <xdr:rowOff>25400</xdr:rowOff>
    </xdr:from>
    <xdr:to>
      <xdr:col>0</xdr:col>
      <xdr:colOff>539750</xdr:colOff>
      <xdr:row>9</xdr:row>
      <xdr:rowOff>139700</xdr:rowOff>
    </xdr:to>
    <xdr:pic>
      <xdr:nvPicPr>
        <xdr:cNvPr id="20" name="Picture 91">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12001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10</xdr:row>
      <xdr:rowOff>25400</xdr:rowOff>
    </xdr:from>
    <xdr:to>
      <xdr:col>0</xdr:col>
      <xdr:colOff>539750</xdr:colOff>
      <xdr:row>12</xdr:row>
      <xdr:rowOff>146050</xdr:rowOff>
    </xdr:to>
    <xdr:pic>
      <xdr:nvPicPr>
        <xdr:cNvPr id="21" name="Picture 9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16764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13</xdr:row>
      <xdr:rowOff>19050</xdr:rowOff>
    </xdr:from>
    <xdr:to>
      <xdr:col>0</xdr:col>
      <xdr:colOff>546100</xdr:colOff>
      <xdr:row>15</xdr:row>
      <xdr:rowOff>152400</xdr:rowOff>
    </xdr:to>
    <xdr:pic>
      <xdr:nvPicPr>
        <xdr:cNvPr id="22" name="Picture 93">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21463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22</xdr:row>
      <xdr:rowOff>19050</xdr:rowOff>
    </xdr:from>
    <xdr:to>
      <xdr:col>0</xdr:col>
      <xdr:colOff>533400</xdr:colOff>
      <xdr:row>24</xdr:row>
      <xdr:rowOff>139700</xdr:rowOff>
    </xdr:to>
    <xdr:pic>
      <xdr:nvPicPr>
        <xdr:cNvPr id="25" name="Picture 96">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3575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4</xdr:row>
      <xdr:rowOff>12700</xdr:rowOff>
    </xdr:from>
    <xdr:to>
      <xdr:col>1</xdr:col>
      <xdr:colOff>546100</xdr:colOff>
      <xdr:row>6</xdr:row>
      <xdr:rowOff>146050</xdr:rowOff>
    </xdr:to>
    <xdr:pic>
      <xdr:nvPicPr>
        <xdr:cNvPr id="27" name="Picture 98">
          <a:extLst>
            <a:ext uri="{FF2B5EF4-FFF2-40B4-BE49-F238E27FC236}">
              <a16:creationId xmlns:a16="http://schemas.microsoft.com/office/drawing/2014/main" id="{00000000-0008-0000-0400-00001B000000}"/>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7550" y="71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10</xdr:row>
      <xdr:rowOff>19050</xdr:rowOff>
    </xdr:from>
    <xdr:to>
      <xdr:col>1</xdr:col>
      <xdr:colOff>539750</xdr:colOff>
      <xdr:row>12</xdr:row>
      <xdr:rowOff>146050</xdr:rowOff>
    </xdr:to>
    <xdr:pic>
      <xdr:nvPicPr>
        <xdr:cNvPr id="29" name="Picture 100">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7550" y="16700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xdr:row>
      <xdr:rowOff>19050</xdr:rowOff>
    </xdr:from>
    <xdr:to>
      <xdr:col>1</xdr:col>
      <xdr:colOff>558800</xdr:colOff>
      <xdr:row>15</xdr:row>
      <xdr:rowOff>146050</xdr:rowOff>
    </xdr:to>
    <xdr:pic>
      <xdr:nvPicPr>
        <xdr:cNvPr id="33" name="Picture 39">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6600" y="21463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16</xdr:row>
      <xdr:rowOff>19050</xdr:rowOff>
    </xdr:from>
    <xdr:to>
      <xdr:col>0</xdr:col>
      <xdr:colOff>546100</xdr:colOff>
      <xdr:row>18</xdr:row>
      <xdr:rowOff>152400</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8"/>
        <a:stretch>
          <a:fillRect/>
        </a:stretch>
      </xdr:blipFill>
      <xdr:spPr>
        <a:xfrm>
          <a:off x="95250" y="2559050"/>
          <a:ext cx="450850" cy="450850"/>
        </a:xfrm>
        <a:prstGeom prst="rect">
          <a:avLst/>
        </a:prstGeom>
      </xdr:spPr>
    </xdr:pic>
    <xdr:clientData/>
  </xdr:twoCellAnchor>
  <xdr:twoCellAnchor>
    <xdr:from>
      <xdr:col>1</xdr:col>
      <xdr:colOff>107950</xdr:colOff>
      <xdr:row>16</xdr:row>
      <xdr:rowOff>31750</xdr:rowOff>
    </xdr:from>
    <xdr:to>
      <xdr:col>1</xdr:col>
      <xdr:colOff>533400</xdr:colOff>
      <xdr:row>18</xdr:row>
      <xdr:rowOff>139700</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a:stretch>
          <a:fillRect/>
        </a:stretch>
      </xdr:blipFill>
      <xdr:spPr>
        <a:xfrm>
          <a:off x="730250" y="2571750"/>
          <a:ext cx="425450" cy="425450"/>
        </a:xfrm>
        <a:prstGeom prst="rect">
          <a:avLst/>
        </a:prstGeom>
      </xdr:spPr>
    </xdr:pic>
    <xdr:clientData/>
  </xdr:twoCellAnchor>
  <xdr:twoCellAnchor>
    <xdr:from>
      <xdr:col>0</xdr:col>
      <xdr:colOff>82551</xdr:colOff>
      <xdr:row>19</xdr:row>
      <xdr:rowOff>19051</xdr:rowOff>
    </xdr:from>
    <xdr:to>
      <xdr:col>0</xdr:col>
      <xdr:colOff>520700</xdr:colOff>
      <xdr:row>21</xdr:row>
      <xdr:rowOff>139700</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0"/>
        <a:stretch>
          <a:fillRect/>
        </a:stretch>
      </xdr:blipFill>
      <xdr:spPr>
        <a:xfrm>
          <a:off x="82551" y="2933701"/>
          <a:ext cx="438149" cy="438149"/>
        </a:xfrm>
        <a:prstGeom prst="rect">
          <a:avLst/>
        </a:prstGeom>
      </xdr:spPr>
    </xdr:pic>
    <xdr:clientData/>
  </xdr:twoCellAnchor>
  <xdr:twoCellAnchor>
    <xdr:from>
      <xdr:col>1</xdr:col>
      <xdr:colOff>88900</xdr:colOff>
      <xdr:row>19</xdr:row>
      <xdr:rowOff>25400</xdr:rowOff>
    </xdr:from>
    <xdr:to>
      <xdr:col>1</xdr:col>
      <xdr:colOff>520700</xdr:colOff>
      <xdr:row>21</xdr:row>
      <xdr:rowOff>139700</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1"/>
        <a:stretch>
          <a:fillRect/>
        </a:stretch>
      </xdr:blipFill>
      <xdr:spPr>
        <a:xfrm>
          <a:off x="3886200" y="3041650"/>
          <a:ext cx="431800" cy="431800"/>
        </a:xfrm>
        <a:prstGeom prst="rect">
          <a:avLst/>
        </a:prstGeom>
      </xdr:spPr>
    </xdr:pic>
    <xdr:clientData/>
  </xdr:twoCellAnchor>
  <xdr:twoCellAnchor>
    <xdr:from>
      <xdr:col>1</xdr:col>
      <xdr:colOff>69850</xdr:colOff>
      <xdr:row>22</xdr:row>
      <xdr:rowOff>12700</xdr:rowOff>
    </xdr:from>
    <xdr:to>
      <xdr:col>1</xdr:col>
      <xdr:colOff>514350</xdr:colOff>
      <xdr:row>24</xdr:row>
      <xdr:rowOff>139700</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2"/>
        <a:stretch>
          <a:fillRect/>
        </a:stretch>
      </xdr:blipFill>
      <xdr:spPr>
        <a:xfrm>
          <a:off x="3867150" y="3505200"/>
          <a:ext cx="444500" cy="444500"/>
        </a:xfrm>
        <a:prstGeom prst="rect">
          <a:avLst/>
        </a:prstGeom>
      </xdr:spPr>
    </xdr:pic>
    <xdr:clientData/>
  </xdr:twoCellAnchor>
  <xdr:twoCellAnchor>
    <xdr:from>
      <xdr:col>2</xdr:col>
      <xdr:colOff>63500</xdr:colOff>
      <xdr:row>1</xdr:row>
      <xdr:rowOff>25400</xdr:rowOff>
    </xdr:from>
    <xdr:to>
      <xdr:col>2</xdr:col>
      <xdr:colOff>552450</xdr:colOff>
      <xdr:row>3</xdr:row>
      <xdr:rowOff>133350</xdr:rowOff>
    </xdr:to>
    <xdr:pic>
      <xdr:nvPicPr>
        <xdr:cNvPr id="23" name="Picture 35">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08100" y="184150"/>
          <a:ext cx="4889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82551</xdr:colOff>
      <xdr:row>1</xdr:row>
      <xdr:rowOff>15876</xdr:rowOff>
    </xdr:from>
    <xdr:to>
      <xdr:col>1</xdr:col>
      <xdr:colOff>540858</xdr:colOff>
      <xdr:row>3</xdr:row>
      <xdr:rowOff>139700</xdr:rowOff>
    </xdr:to>
    <xdr:pic>
      <xdr:nvPicPr>
        <xdr:cNvPr id="4" name="Picture 3">
          <a:extLst>
            <a:ext uri="{FF2B5EF4-FFF2-40B4-BE49-F238E27FC236}">
              <a16:creationId xmlns:a16="http://schemas.microsoft.com/office/drawing/2014/main" id="{54145A03-4451-4090-8994-CC26913DBDAC}"/>
            </a:ext>
          </a:extLst>
        </xdr:cNvPr>
        <xdr:cNvPicPr>
          <a:picLocks noChangeAspect="1"/>
        </xdr:cNvPicPr>
      </xdr:nvPicPr>
      <xdr:blipFill>
        <a:blip xmlns:r="http://schemas.openxmlformats.org/officeDocument/2006/relationships" r:embed="rId14"/>
        <a:stretch>
          <a:fillRect/>
        </a:stretch>
      </xdr:blipFill>
      <xdr:spPr>
        <a:xfrm>
          <a:off x="701676" y="73026"/>
          <a:ext cx="461482" cy="450849"/>
        </a:xfrm>
        <a:prstGeom prst="rect">
          <a:avLst/>
        </a:prstGeom>
      </xdr:spPr>
    </xdr:pic>
    <xdr:clientData/>
  </xdr:twoCellAnchor>
  <xdr:twoCellAnchor editAs="oneCell">
    <xdr:from>
      <xdr:col>0</xdr:col>
      <xdr:colOff>57150</xdr:colOff>
      <xdr:row>1</xdr:row>
      <xdr:rowOff>76200</xdr:rowOff>
    </xdr:from>
    <xdr:to>
      <xdr:col>0</xdr:col>
      <xdr:colOff>476250</xdr:colOff>
      <xdr:row>3</xdr:row>
      <xdr:rowOff>152400</xdr:rowOff>
    </xdr:to>
    <xdr:pic>
      <xdr:nvPicPr>
        <xdr:cNvPr id="5" name="Picture 5">
          <a:extLst>
            <a:ext uri="{FF2B5EF4-FFF2-40B4-BE49-F238E27FC236}">
              <a16:creationId xmlns:a16="http://schemas.microsoft.com/office/drawing/2014/main" id="{6829BB86-7FBD-47A4-8CEE-E25D1B483EA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150" y="238125"/>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4</xdr:row>
      <xdr:rowOff>38100</xdr:rowOff>
    </xdr:from>
    <xdr:to>
      <xdr:col>0</xdr:col>
      <xdr:colOff>457200</xdr:colOff>
      <xdr:row>6</xdr:row>
      <xdr:rowOff>139700</xdr:rowOff>
    </xdr:to>
    <xdr:pic>
      <xdr:nvPicPr>
        <xdr:cNvPr id="6" name="Picture 2">
          <a:extLst>
            <a:ext uri="{FF2B5EF4-FFF2-40B4-BE49-F238E27FC236}">
              <a16:creationId xmlns:a16="http://schemas.microsoft.com/office/drawing/2014/main" id="{32750005-1A3D-4ECD-8637-E1482A4A6F6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 y="742950"/>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7</xdr:row>
      <xdr:rowOff>50800</xdr:rowOff>
    </xdr:from>
    <xdr:to>
      <xdr:col>1</xdr:col>
      <xdr:colOff>476250</xdr:colOff>
      <xdr:row>9</xdr:row>
      <xdr:rowOff>142875</xdr:rowOff>
    </xdr:to>
    <xdr:pic>
      <xdr:nvPicPr>
        <xdr:cNvPr id="7" name="Picture 3">
          <a:extLst>
            <a:ext uri="{FF2B5EF4-FFF2-40B4-BE49-F238E27FC236}">
              <a16:creationId xmlns:a16="http://schemas.microsoft.com/office/drawing/2014/main" id="{E9921A48-6DD8-4133-A6AA-DD0F4E49CB9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71500" y="12382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loomesp/Local%20Settings/Temp/Book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ppData/Local/Temp/Temp1_FT2020v3.zip/FT2016/Tipsheet.xls" TargetMode="External"/><Relationship Id="rId1" Type="http://schemas.openxmlformats.org/officeDocument/2006/relationships/externalLinkPath" Target="/Users/Rob/AppData/Local/Temp/Temp1_FT2020v3.zip/FT2016/Tip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adder - new"/>
    </sheetNames>
    <sheetDataSet>
      <sheetData sheetId="0">
        <row r="18">
          <cell r="AC18" t="e">
            <v>#REF!</v>
          </cell>
        </row>
        <row r="19">
          <cell r="AC19" t="e">
            <v>#REF!</v>
          </cell>
        </row>
        <row r="20">
          <cell r="AC20" t="e">
            <v>#REF!</v>
          </cell>
        </row>
        <row r="21">
          <cell r="AC21" t="e">
            <v>#REF!</v>
          </cell>
        </row>
        <row r="22">
          <cell r="AC22" t="e">
            <v>#REF!</v>
          </cell>
        </row>
        <row r="23">
          <cell r="AC23" t="e">
            <v>#REF!</v>
          </cell>
        </row>
        <row r="24">
          <cell r="AC24" t="e">
            <v>#REF!</v>
          </cell>
        </row>
        <row r="25">
          <cell r="AC25" t="e">
            <v>#REF!</v>
          </cell>
        </row>
        <row r="26">
          <cell r="AC26" t="e">
            <v>#REF!</v>
          </cell>
        </row>
        <row r="27">
          <cell r="AC27" t="e">
            <v>#REF!</v>
          </cell>
        </row>
        <row r="28">
          <cell r="AC28" t="e">
            <v>#REF!</v>
          </cell>
        </row>
        <row r="29">
          <cell r="AC29" t="e">
            <v>#REF!</v>
          </cell>
        </row>
        <row r="30">
          <cell r="AC30" t="e">
            <v>#REF!</v>
          </cell>
        </row>
        <row r="31">
          <cell r="AC31" t="e">
            <v>#REF!</v>
          </cell>
        </row>
        <row r="32">
          <cell r="AC32"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psheet"/>
      <sheetName val="Draw and Results"/>
      <sheetName val="Bragging Rights"/>
      <sheetName val="Data"/>
      <sheetName val="My Stats"/>
      <sheetName val="The Ladder"/>
      <sheetName val="Logos"/>
    </sheetNames>
    <sheetDataSet>
      <sheetData sheetId="0" refreshError="1"/>
      <sheetData sheetId="1">
        <row r="32">
          <cell r="A32">
            <v>1</v>
          </cell>
        </row>
        <row r="33">
          <cell r="A33">
            <v>2</v>
          </cell>
        </row>
        <row r="34">
          <cell r="A34">
            <v>3</v>
          </cell>
        </row>
        <row r="35">
          <cell r="A35">
            <v>4</v>
          </cell>
        </row>
        <row r="36">
          <cell r="A36">
            <v>5</v>
          </cell>
        </row>
        <row r="37">
          <cell r="A37">
            <v>6</v>
          </cell>
        </row>
        <row r="38">
          <cell r="A38">
            <v>7</v>
          </cell>
        </row>
        <row r="39">
          <cell r="A39">
            <v>8</v>
          </cell>
        </row>
        <row r="40">
          <cell r="A40">
            <v>9</v>
          </cell>
        </row>
        <row r="41">
          <cell r="A41">
            <v>10</v>
          </cell>
        </row>
        <row r="42">
          <cell r="A42">
            <v>11</v>
          </cell>
        </row>
        <row r="43">
          <cell r="A43">
            <v>12</v>
          </cell>
        </row>
        <row r="44">
          <cell r="A44">
            <v>13</v>
          </cell>
        </row>
        <row r="45">
          <cell r="A45">
            <v>14</v>
          </cell>
        </row>
        <row r="46">
          <cell r="A46">
            <v>15</v>
          </cell>
        </row>
        <row r="47">
          <cell r="A47">
            <v>16</v>
          </cell>
        </row>
        <row r="48">
          <cell r="A48">
            <v>17</v>
          </cell>
        </row>
        <row r="49">
          <cell r="A49">
            <v>18</v>
          </cell>
        </row>
        <row r="50">
          <cell r="A50">
            <v>19</v>
          </cell>
        </row>
        <row r="51">
          <cell r="A51">
            <v>20</v>
          </cell>
        </row>
        <row r="52">
          <cell r="A52">
            <v>21</v>
          </cell>
        </row>
        <row r="53">
          <cell r="A53">
            <v>22</v>
          </cell>
        </row>
        <row r="54">
          <cell r="A54">
            <v>23</v>
          </cell>
        </row>
        <row r="55">
          <cell r="A55">
            <v>24</v>
          </cell>
        </row>
        <row r="56">
          <cell r="A56">
            <v>25</v>
          </cell>
        </row>
        <row r="57">
          <cell r="A57">
            <v>26</v>
          </cell>
        </row>
      </sheetData>
      <sheetData sheetId="2" refreshError="1"/>
      <sheetData sheetId="3">
        <row r="4">
          <cell r="AN4" t="str">
            <v>Adel Messih</v>
          </cell>
        </row>
        <row r="5">
          <cell r="AN5" t="str">
            <v>Admiral</v>
          </cell>
        </row>
        <row r="6">
          <cell r="AN6" t="str">
            <v>Bailey's Tips</v>
          </cell>
        </row>
        <row r="7">
          <cell r="AN7" t="str">
            <v>Bart Simpson</v>
          </cell>
        </row>
        <row r="8">
          <cell r="AN8" t="str">
            <v>Big Moose</v>
          </cell>
        </row>
        <row r="9">
          <cell r="AN9" t="str">
            <v>Bill Barnes</v>
          </cell>
        </row>
        <row r="10">
          <cell r="AN10" t="str">
            <v>Black Cat</v>
          </cell>
        </row>
        <row r="11">
          <cell r="AN11" t="str">
            <v>broncos4eva</v>
          </cell>
        </row>
        <row r="12">
          <cell r="AN12" t="str">
            <v>Bruisers</v>
          </cell>
        </row>
        <row r="13">
          <cell r="AN13" t="str">
            <v>Camo</v>
          </cell>
        </row>
        <row r="14">
          <cell r="AN14" t="str">
            <v>Clayton5.7</v>
          </cell>
        </row>
        <row r="15">
          <cell r="AN15" t="str">
            <v>Daddles</v>
          </cell>
        </row>
        <row r="16">
          <cell r="AN16" t="str">
            <v>Daddy Cool</v>
          </cell>
        </row>
        <row r="17">
          <cell r="AN17" t="str">
            <v>Dizzle</v>
          </cell>
        </row>
        <row r="18">
          <cell r="AN18" t="str">
            <v>DPH</v>
          </cell>
        </row>
        <row r="19">
          <cell r="AN19" t="str">
            <v>DragonDazz</v>
          </cell>
        </row>
        <row r="20">
          <cell r="AN20" t="str">
            <v>Eelsman</v>
          </cell>
        </row>
        <row r="21">
          <cell r="AN21" t="str">
            <v>Eric The Eel</v>
          </cell>
        </row>
        <row r="22">
          <cell r="AN22" t="str">
            <v>Fire</v>
          </cell>
        </row>
        <row r="23">
          <cell r="AN23" t="str">
            <v>Frankie#1</v>
          </cell>
        </row>
        <row r="24">
          <cell r="AN24" t="str">
            <v>GDAD</v>
          </cell>
        </row>
        <row r="25">
          <cell r="AN25" t="str">
            <v>GeorgeTheDragon</v>
          </cell>
        </row>
        <row r="26">
          <cell r="AN26" t="str">
            <v>GoPara80</v>
          </cell>
        </row>
        <row r="27">
          <cell r="AN27" t="str">
            <v>HD Champ</v>
          </cell>
        </row>
        <row r="28">
          <cell r="AN28" t="str">
            <v>iTerry</v>
          </cell>
        </row>
        <row r="29">
          <cell r="AN29" t="str">
            <v>Jacob Kipakapu</v>
          </cell>
        </row>
        <row r="30">
          <cell r="AN30" t="str">
            <v>John Feeney</v>
          </cell>
        </row>
        <row r="31">
          <cell r="AN31" t="str">
            <v>Kane G</v>
          </cell>
        </row>
        <row r="32">
          <cell r="AN32" t="str">
            <v>Katherine</v>
          </cell>
        </row>
        <row r="33">
          <cell r="AN33" t="str">
            <v>Krusty</v>
          </cell>
        </row>
        <row r="34">
          <cell r="AN34" t="str">
            <v>Little Man</v>
          </cell>
        </row>
        <row r="35">
          <cell r="AN35" t="str">
            <v>Lou</v>
          </cell>
        </row>
        <row r="36">
          <cell r="AN36" t="str">
            <v>Luke Perkins</v>
          </cell>
        </row>
        <row r="37">
          <cell r="AN37" t="str">
            <v>Magnum</v>
          </cell>
        </row>
        <row r="38">
          <cell r="AN38" t="str">
            <v>Mary McGregor</v>
          </cell>
        </row>
        <row r="39">
          <cell r="AN39" t="str">
            <v>MB</v>
          </cell>
        </row>
        <row r="40">
          <cell r="AN40" t="str">
            <v>MB Too</v>
          </cell>
        </row>
        <row r="41">
          <cell r="AN41" t="str">
            <v>Meady</v>
          </cell>
        </row>
        <row r="42">
          <cell r="AN42" t="str">
            <v>MJP</v>
          </cell>
        </row>
        <row r="43">
          <cell r="AN43" t="str">
            <v>MLC</v>
          </cell>
        </row>
        <row r="44">
          <cell r="AN44" t="str">
            <v>Mr Taylor</v>
          </cell>
        </row>
        <row r="45">
          <cell r="AN45" t="str">
            <v>Mrs Magnum</v>
          </cell>
        </row>
        <row r="46">
          <cell r="AN46" t="str">
            <v>Murch</v>
          </cell>
        </row>
        <row r="47">
          <cell r="AN47" t="str">
            <v>Not Last</v>
          </cell>
        </row>
        <row r="48">
          <cell r="AN48" t="str">
            <v>Pa</v>
          </cell>
        </row>
        <row r="49">
          <cell r="AN49" t="str">
            <v>Pablo</v>
          </cell>
        </row>
        <row r="50">
          <cell r="AN50" t="str">
            <v>Pantherman</v>
          </cell>
        </row>
        <row r="51">
          <cell r="AN51" t="str">
            <v>Panthers29</v>
          </cell>
        </row>
        <row r="52">
          <cell r="AN52" t="str">
            <v>Parra Letic</v>
          </cell>
        </row>
        <row r="53">
          <cell r="AN53" t="str">
            <v>Plugger</v>
          </cell>
        </row>
        <row r="54">
          <cell r="AN54" t="str">
            <v>Plumber's Crack</v>
          </cell>
        </row>
        <row r="55">
          <cell r="AN55" t="str">
            <v>Robert Cook</v>
          </cell>
        </row>
        <row r="56">
          <cell r="AN56" t="str">
            <v>Ross Hickman</v>
          </cell>
        </row>
        <row r="57">
          <cell r="AN57" t="str">
            <v>RUNNER</v>
          </cell>
        </row>
        <row r="58">
          <cell r="AN58" t="str">
            <v>sculkin</v>
          </cell>
        </row>
        <row r="59">
          <cell r="AN59" t="str">
            <v>Shagged</v>
          </cell>
        </row>
        <row r="60">
          <cell r="AN60" t="str">
            <v>Smog</v>
          </cell>
        </row>
        <row r="61">
          <cell r="AN61" t="str">
            <v>Snatch</v>
          </cell>
        </row>
        <row r="62">
          <cell r="AN62" t="str">
            <v>SNP</v>
          </cell>
        </row>
        <row r="63">
          <cell r="AN63" t="str">
            <v>Special K</v>
          </cell>
        </row>
        <row r="64">
          <cell r="AN64" t="str">
            <v>Stallion</v>
          </cell>
        </row>
        <row r="65">
          <cell r="AN65" t="str">
            <v>Steve</v>
          </cell>
        </row>
        <row r="66">
          <cell r="AN66" t="str">
            <v>SydneyWarrior</v>
          </cell>
        </row>
        <row r="67">
          <cell r="AN67" t="str">
            <v>The Creator</v>
          </cell>
        </row>
        <row r="68">
          <cell r="AN68" t="str">
            <v>Tigers2005</v>
          </cell>
        </row>
        <row r="69">
          <cell r="AN69" t="str">
            <v>Timbo</v>
          </cell>
        </row>
        <row r="70">
          <cell r="AN70" t="str">
            <v>U_J</v>
          </cell>
        </row>
        <row r="71">
          <cell r="AN71" t="str">
            <v>Vince Nemba</v>
          </cell>
        </row>
        <row r="72">
          <cell r="AN72" t="str">
            <v>Wally</v>
          </cell>
        </row>
        <row r="73">
          <cell r="AN73" t="str">
            <v>Wile E C</v>
          </cell>
        </row>
        <row r="74">
          <cell r="AN74" t="str">
            <v>Wombat</v>
          </cell>
        </row>
        <row r="75">
          <cell r="AN75" t="str">
            <v>Yaccas</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321FD9-3BC7-4F39-B130-999ED0334D50}" name="Table2" displayName="Table2" ref="B4:K59" totalsRowShown="0" headerRowDxfId="88" dataDxfId="87" tableBorderDxfId="86">
  <autoFilter ref="B4:K59" xr:uid="{DD321FD9-3BC7-4F39-B130-999ED0334D50}"/>
  <tableColumns count="10">
    <tableColumn id="1" xr3:uid="{BE1E5652-FBBD-422F-A8F7-82AB31898634}" name="Tipster" dataDxfId="85"/>
    <tableColumn id="2" xr3:uid="{516D96DF-4B85-4A3F-AAC8-EBA6AFF7286B}" name="Game 1" dataDxfId="84"/>
    <tableColumn id="3" xr3:uid="{2F93934B-0369-4EF2-BCA1-CBF077AC7762}" name="Game 2" dataDxfId="83"/>
    <tableColumn id="4" xr3:uid="{B36BA349-AB0F-4CFA-BDBD-4AD61491BC9D}" name="Game 3" dataDxfId="82"/>
    <tableColumn id="5" xr3:uid="{6762B69C-8A80-45A4-9747-D86D6E1DF0D7}" name="Game 4" dataDxfId="81"/>
    <tableColumn id="6" xr3:uid="{7A4D1A4B-D841-4EF7-A077-84EF70510391}" name="Game 5" dataDxfId="80"/>
    <tableColumn id="7" xr3:uid="{6FB1B464-9748-450C-B017-E8F63CDBD95A}" name="Game 6" dataDxfId="79"/>
    <tableColumn id="8" xr3:uid="{4C82ECCB-F66A-4BD1-9BB2-9875670B007B}" name="Game 7" dataDxfId="78"/>
    <tableColumn id="9" xr3:uid="{2F1A84DA-D666-4C31-9F6D-65925097A0FC}" name="Game 8" dataDxfId="77"/>
    <tableColumn id="10" xr3:uid="{660514A9-5A86-42C7-820F-30C7D2D36BFF}" name="Standout" dataDxfId="7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IS60"/>
  <sheetViews>
    <sheetView showGridLines="0" showRowColHeaders="0" tabSelected="1" zoomScale="90" zoomScaleNormal="90" workbookViewId="0">
      <selection activeCell="E33" sqref="E33"/>
    </sheetView>
  </sheetViews>
  <sheetFormatPr defaultRowHeight="14.5" x14ac:dyDescent="0.35"/>
  <cols>
    <col min="1" max="1" width="0.81640625" style="12" customWidth="1"/>
    <col min="2" max="2" width="3.81640625" style="12" customWidth="1"/>
    <col min="3" max="3" width="12.1796875" style="15" bestFit="1" customWidth="1"/>
    <col min="4" max="4" width="12" style="12" bestFit="1" customWidth="1"/>
    <col min="5" max="5" width="30.26953125" style="12" customWidth="1"/>
    <col min="6" max="6" width="5.453125" style="12" customWidth="1"/>
    <col min="7" max="7" width="2.453125" style="12" customWidth="1"/>
    <col min="8" max="8" width="8.7265625" style="12"/>
    <col min="9" max="9" width="12" style="12" customWidth="1"/>
    <col min="10" max="10" width="12" style="12" bestFit="1" customWidth="1"/>
    <col min="11" max="11" width="7.54296875" style="12" bestFit="1" customWidth="1"/>
    <col min="12" max="12" width="1.7265625" style="12" customWidth="1"/>
    <col min="13" max="13" width="2.453125" style="15" customWidth="1"/>
    <col min="14" max="14" width="8.7265625" style="12"/>
    <col min="15" max="16" width="12" style="12" customWidth="1"/>
    <col min="17" max="17" width="7.54296875" style="16" bestFit="1" customWidth="1"/>
    <col min="18" max="18" width="2.1796875" style="12" customWidth="1"/>
    <col min="19" max="21" width="9.26953125" style="57" bestFit="1" customWidth="1"/>
    <col min="22" max="27" width="9.1796875" style="57" customWidth="1"/>
    <col min="28" max="28" width="9.1796875" style="105" customWidth="1"/>
    <col min="29" max="29" width="9.1796875" style="57" customWidth="1"/>
    <col min="30" max="30" width="10.1796875" style="57" customWidth="1"/>
    <col min="31" max="31" width="5.81640625" style="57" customWidth="1"/>
    <col min="32" max="32" width="8.26953125" style="57" customWidth="1"/>
    <col min="33" max="33" width="9.7265625" style="57" customWidth="1"/>
    <col min="34" max="34" width="8.1796875" style="57" customWidth="1"/>
    <col min="35" max="35" width="6.81640625" style="114" customWidth="1"/>
    <col min="36" max="36" width="7.7265625" style="57" customWidth="1"/>
    <col min="37" max="40" width="9.1796875" style="14" customWidth="1"/>
    <col min="41" max="43" width="9.1796875" style="13" customWidth="1"/>
    <col min="44" max="50" width="8.7265625" style="14"/>
    <col min="51" max="253" width="8.7265625" style="12"/>
    <col min="254" max="255" width="8.81640625" style="12" customWidth="1"/>
    <col min="256" max="257" width="0.81640625" style="12" customWidth="1"/>
    <col min="258" max="258" width="3.81640625" style="12" customWidth="1"/>
    <col min="259" max="259" width="12.1796875" style="12" bestFit="1" customWidth="1"/>
    <col min="260" max="260" width="12" style="12" bestFit="1" customWidth="1"/>
    <col min="261" max="261" width="30.26953125" style="12" customWidth="1"/>
    <col min="262" max="262" width="5.453125" style="12" customWidth="1"/>
    <col min="263" max="263" width="2.453125" style="12" customWidth="1"/>
    <col min="264" max="264" width="8.7265625" style="12"/>
    <col min="265" max="265" width="12" style="12" customWidth="1"/>
    <col min="266" max="266" width="12" style="12" bestFit="1" customWidth="1"/>
    <col min="267" max="267" width="7.54296875" style="12" bestFit="1" customWidth="1"/>
    <col min="268" max="268" width="1.7265625" style="12" customWidth="1"/>
    <col min="269" max="269" width="2.453125" style="12" customWidth="1"/>
    <col min="270" max="270" width="8.7265625" style="12"/>
    <col min="271" max="272" width="12" style="12" customWidth="1"/>
    <col min="273" max="273" width="7.54296875" style="12" bestFit="1" customWidth="1"/>
    <col min="274" max="274" width="2.1796875" style="12" customWidth="1"/>
    <col min="275" max="277" width="9.26953125" style="12" bestFit="1" customWidth="1"/>
    <col min="278" max="285" width="9.1796875" style="12" customWidth="1"/>
    <col min="286" max="286" width="10.1796875" style="12" customWidth="1"/>
    <col min="287" max="287" width="5.81640625" style="12" customWidth="1"/>
    <col min="288" max="288" width="8.26953125" style="12" customWidth="1"/>
    <col min="289" max="289" width="9.7265625" style="12" customWidth="1"/>
    <col min="290" max="290" width="8.1796875" style="12" customWidth="1"/>
    <col min="291" max="291" width="6.81640625" style="12" customWidth="1"/>
    <col min="292" max="292" width="7.7265625" style="12" customWidth="1"/>
    <col min="293" max="299" width="9.1796875" style="12" customWidth="1"/>
    <col min="300" max="509" width="8.7265625" style="12"/>
    <col min="510" max="511" width="8.81640625" style="12" customWidth="1"/>
    <col min="512" max="513" width="0.81640625" style="12" customWidth="1"/>
    <col min="514" max="514" width="3.81640625" style="12" customWidth="1"/>
    <col min="515" max="515" width="12.1796875" style="12" bestFit="1" customWidth="1"/>
    <col min="516" max="516" width="12" style="12" bestFit="1" customWidth="1"/>
    <col min="517" max="517" width="30.26953125" style="12" customWidth="1"/>
    <col min="518" max="518" width="5.453125" style="12" customWidth="1"/>
    <col min="519" max="519" width="2.453125" style="12" customWidth="1"/>
    <col min="520" max="520" width="8.7265625" style="12"/>
    <col min="521" max="521" width="12" style="12" customWidth="1"/>
    <col min="522" max="522" width="12" style="12" bestFit="1" customWidth="1"/>
    <col min="523" max="523" width="7.54296875" style="12" bestFit="1" customWidth="1"/>
    <col min="524" max="524" width="1.7265625" style="12" customWidth="1"/>
    <col min="525" max="525" width="2.453125" style="12" customWidth="1"/>
    <col min="526" max="526" width="8.7265625" style="12"/>
    <col min="527" max="528" width="12" style="12" customWidth="1"/>
    <col min="529" max="529" width="7.54296875" style="12" bestFit="1" customWidth="1"/>
    <col min="530" max="530" width="2.1796875" style="12" customWidth="1"/>
    <col min="531" max="533" width="9.26953125" style="12" bestFit="1" customWidth="1"/>
    <col min="534" max="541" width="9.1796875" style="12" customWidth="1"/>
    <col min="542" max="542" width="10.1796875" style="12" customWidth="1"/>
    <col min="543" max="543" width="5.81640625" style="12" customWidth="1"/>
    <col min="544" max="544" width="8.26953125" style="12" customWidth="1"/>
    <col min="545" max="545" width="9.7265625" style="12" customWidth="1"/>
    <col min="546" max="546" width="8.1796875" style="12" customWidth="1"/>
    <col min="547" max="547" width="6.81640625" style="12" customWidth="1"/>
    <col min="548" max="548" width="7.7265625" style="12" customWidth="1"/>
    <col min="549" max="555" width="9.1796875" style="12" customWidth="1"/>
    <col min="556" max="765" width="8.7265625" style="12"/>
    <col min="766" max="767" width="8.81640625" style="12" customWidth="1"/>
    <col min="768" max="769" width="0.81640625" style="12" customWidth="1"/>
    <col min="770" max="770" width="3.81640625" style="12" customWidth="1"/>
    <col min="771" max="771" width="12.1796875" style="12" bestFit="1" customWidth="1"/>
    <col min="772" max="772" width="12" style="12" bestFit="1" customWidth="1"/>
    <col min="773" max="773" width="30.26953125" style="12" customWidth="1"/>
    <col min="774" max="774" width="5.453125" style="12" customWidth="1"/>
    <col min="775" max="775" width="2.453125" style="12" customWidth="1"/>
    <col min="776" max="776" width="8.7265625" style="12"/>
    <col min="777" max="777" width="12" style="12" customWidth="1"/>
    <col min="778" max="778" width="12" style="12" bestFit="1" customWidth="1"/>
    <col min="779" max="779" width="7.54296875" style="12" bestFit="1" customWidth="1"/>
    <col min="780" max="780" width="1.7265625" style="12" customWidth="1"/>
    <col min="781" max="781" width="2.453125" style="12" customWidth="1"/>
    <col min="782" max="782" width="8.7265625" style="12"/>
    <col min="783" max="784" width="12" style="12" customWidth="1"/>
    <col min="785" max="785" width="7.54296875" style="12" bestFit="1" customWidth="1"/>
    <col min="786" max="786" width="2.1796875" style="12" customWidth="1"/>
    <col min="787" max="789" width="9.26953125" style="12" bestFit="1" customWidth="1"/>
    <col min="790" max="797" width="9.1796875" style="12" customWidth="1"/>
    <col min="798" max="798" width="10.1796875" style="12" customWidth="1"/>
    <col min="799" max="799" width="5.81640625" style="12" customWidth="1"/>
    <col min="800" max="800" width="8.26953125" style="12" customWidth="1"/>
    <col min="801" max="801" width="9.7265625" style="12" customWidth="1"/>
    <col min="802" max="802" width="8.1796875" style="12" customWidth="1"/>
    <col min="803" max="803" width="6.81640625" style="12" customWidth="1"/>
    <col min="804" max="804" width="7.7265625" style="12" customWidth="1"/>
    <col min="805" max="811" width="9.1796875" style="12" customWidth="1"/>
    <col min="812" max="1021" width="8.7265625" style="12"/>
    <col min="1022" max="1023" width="8.81640625" style="12" customWidth="1"/>
    <col min="1024" max="1025" width="0.81640625" style="12" customWidth="1"/>
    <col min="1026" max="1026" width="3.81640625" style="12" customWidth="1"/>
    <col min="1027" max="1027" width="12.1796875" style="12" bestFit="1" customWidth="1"/>
    <col min="1028" max="1028" width="12" style="12" bestFit="1" customWidth="1"/>
    <col min="1029" max="1029" width="30.26953125" style="12" customWidth="1"/>
    <col min="1030" max="1030" width="5.453125" style="12" customWidth="1"/>
    <col min="1031" max="1031" width="2.453125" style="12" customWidth="1"/>
    <col min="1032" max="1032" width="8.7265625" style="12"/>
    <col min="1033" max="1033" width="12" style="12" customWidth="1"/>
    <col min="1034" max="1034" width="12" style="12" bestFit="1" customWidth="1"/>
    <col min="1035" max="1035" width="7.54296875" style="12" bestFit="1" customWidth="1"/>
    <col min="1036" max="1036" width="1.7265625" style="12" customWidth="1"/>
    <col min="1037" max="1037" width="2.453125" style="12" customWidth="1"/>
    <col min="1038" max="1038" width="8.7265625" style="12"/>
    <col min="1039" max="1040" width="12" style="12" customWidth="1"/>
    <col min="1041" max="1041" width="7.54296875" style="12" bestFit="1" customWidth="1"/>
    <col min="1042" max="1042" width="2.1796875" style="12" customWidth="1"/>
    <col min="1043" max="1045" width="9.26953125" style="12" bestFit="1" customWidth="1"/>
    <col min="1046" max="1053" width="9.1796875" style="12" customWidth="1"/>
    <col min="1054" max="1054" width="10.1796875" style="12" customWidth="1"/>
    <col min="1055" max="1055" width="5.81640625" style="12" customWidth="1"/>
    <col min="1056" max="1056" width="8.26953125" style="12" customWidth="1"/>
    <col min="1057" max="1057" width="9.7265625" style="12" customWidth="1"/>
    <col min="1058" max="1058" width="8.1796875" style="12" customWidth="1"/>
    <col min="1059" max="1059" width="6.81640625" style="12" customWidth="1"/>
    <col min="1060" max="1060" width="7.7265625" style="12" customWidth="1"/>
    <col min="1061" max="1067" width="9.1796875" style="12" customWidth="1"/>
    <col min="1068" max="1277" width="8.7265625" style="12"/>
    <col min="1278" max="1279" width="8.81640625" style="12" customWidth="1"/>
    <col min="1280" max="1281" width="0.81640625" style="12" customWidth="1"/>
    <col min="1282" max="1282" width="3.81640625" style="12" customWidth="1"/>
    <col min="1283" max="1283" width="12.1796875" style="12" bestFit="1" customWidth="1"/>
    <col min="1284" max="1284" width="12" style="12" bestFit="1" customWidth="1"/>
    <col min="1285" max="1285" width="30.26953125" style="12" customWidth="1"/>
    <col min="1286" max="1286" width="5.453125" style="12" customWidth="1"/>
    <col min="1287" max="1287" width="2.453125" style="12" customWidth="1"/>
    <col min="1288" max="1288" width="8.7265625" style="12"/>
    <col min="1289" max="1289" width="12" style="12" customWidth="1"/>
    <col min="1290" max="1290" width="12" style="12" bestFit="1" customWidth="1"/>
    <col min="1291" max="1291" width="7.54296875" style="12" bestFit="1" customWidth="1"/>
    <col min="1292" max="1292" width="1.7265625" style="12" customWidth="1"/>
    <col min="1293" max="1293" width="2.453125" style="12" customWidth="1"/>
    <col min="1294" max="1294" width="8.7265625" style="12"/>
    <col min="1295" max="1296" width="12" style="12" customWidth="1"/>
    <col min="1297" max="1297" width="7.54296875" style="12" bestFit="1" customWidth="1"/>
    <col min="1298" max="1298" width="2.1796875" style="12" customWidth="1"/>
    <col min="1299" max="1301" width="9.26953125" style="12" bestFit="1" customWidth="1"/>
    <col min="1302" max="1309" width="9.1796875" style="12" customWidth="1"/>
    <col min="1310" max="1310" width="10.1796875" style="12" customWidth="1"/>
    <col min="1311" max="1311" width="5.81640625" style="12" customWidth="1"/>
    <col min="1312" max="1312" width="8.26953125" style="12" customWidth="1"/>
    <col min="1313" max="1313" width="9.7265625" style="12" customWidth="1"/>
    <col min="1314" max="1314" width="8.1796875" style="12" customWidth="1"/>
    <col min="1315" max="1315" width="6.81640625" style="12" customWidth="1"/>
    <col min="1316" max="1316" width="7.7265625" style="12" customWidth="1"/>
    <col min="1317" max="1323" width="9.1796875" style="12" customWidth="1"/>
    <col min="1324" max="1533" width="8.7265625" style="12"/>
    <col min="1534" max="1535" width="8.81640625" style="12" customWidth="1"/>
    <col min="1536" max="1537" width="0.81640625" style="12" customWidth="1"/>
    <col min="1538" max="1538" width="3.81640625" style="12" customWidth="1"/>
    <col min="1539" max="1539" width="12.1796875" style="12" bestFit="1" customWidth="1"/>
    <col min="1540" max="1540" width="12" style="12" bestFit="1" customWidth="1"/>
    <col min="1541" max="1541" width="30.26953125" style="12" customWidth="1"/>
    <col min="1542" max="1542" width="5.453125" style="12" customWidth="1"/>
    <col min="1543" max="1543" width="2.453125" style="12" customWidth="1"/>
    <col min="1544" max="1544" width="8.7265625" style="12"/>
    <col min="1545" max="1545" width="12" style="12" customWidth="1"/>
    <col min="1546" max="1546" width="12" style="12" bestFit="1" customWidth="1"/>
    <col min="1547" max="1547" width="7.54296875" style="12" bestFit="1" customWidth="1"/>
    <col min="1548" max="1548" width="1.7265625" style="12" customWidth="1"/>
    <col min="1549" max="1549" width="2.453125" style="12" customWidth="1"/>
    <col min="1550" max="1550" width="8.7265625" style="12"/>
    <col min="1551" max="1552" width="12" style="12" customWidth="1"/>
    <col min="1553" max="1553" width="7.54296875" style="12" bestFit="1" customWidth="1"/>
    <col min="1554" max="1554" width="2.1796875" style="12" customWidth="1"/>
    <col min="1555" max="1557" width="9.26953125" style="12" bestFit="1" customWidth="1"/>
    <col min="1558" max="1565" width="9.1796875" style="12" customWidth="1"/>
    <col min="1566" max="1566" width="10.1796875" style="12" customWidth="1"/>
    <col min="1567" max="1567" width="5.81640625" style="12" customWidth="1"/>
    <col min="1568" max="1568" width="8.26953125" style="12" customWidth="1"/>
    <col min="1569" max="1569" width="9.7265625" style="12" customWidth="1"/>
    <col min="1570" max="1570" width="8.1796875" style="12" customWidth="1"/>
    <col min="1571" max="1571" width="6.81640625" style="12" customWidth="1"/>
    <col min="1572" max="1572" width="7.7265625" style="12" customWidth="1"/>
    <col min="1573" max="1579" width="9.1796875" style="12" customWidth="1"/>
    <col min="1580" max="1789" width="8.7265625" style="12"/>
    <col min="1790" max="1791" width="8.81640625" style="12" customWidth="1"/>
    <col min="1792" max="1793" width="0.81640625" style="12" customWidth="1"/>
    <col min="1794" max="1794" width="3.81640625" style="12" customWidth="1"/>
    <col min="1795" max="1795" width="12.1796875" style="12" bestFit="1" customWidth="1"/>
    <col min="1796" max="1796" width="12" style="12" bestFit="1" customWidth="1"/>
    <col min="1797" max="1797" width="30.26953125" style="12" customWidth="1"/>
    <col min="1798" max="1798" width="5.453125" style="12" customWidth="1"/>
    <col min="1799" max="1799" width="2.453125" style="12" customWidth="1"/>
    <col min="1800" max="1800" width="8.7265625" style="12"/>
    <col min="1801" max="1801" width="12" style="12" customWidth="1"/>
    <col min="1802" max="1802" width="12" style="12" bestFit="1" customWidth="1"/>
    <col min="1803" max="1803" width="7.54296875" style="12" bestFit="1" customWidth="1"/>
    <col min="1804" max="1804" width="1.7265625" style="12" customWidth="1"/>
    <col min="1805" max="1805" width="2.453125" style="12" customWidth="1"/>
    <col min="1806" max="1806" width="8.7265625" style="12"/>
    <col min="1807" max="1808" width="12" style="12" customWidth="1"/>
    <col min="1809" max="1809" width="7.54296875" style="12" bestFit="1" customWidth="1"/>
    <col min="1810" max="1810" width="2.1796875" style="12" customWidth="1"/>
    <col min="1811" max="1813" width="9.26953125" style="12" bestFit="1" customWidth="1"/>
    <col min="1814" max="1821" width="9.1796875" style="12" customWidth="1"/>
    <col min="1822" max="1822" width="10.1796875" style="12" customWidth="1"/>
    <col min="1823" max="1823" width="5.81640625" style="12" customWidth="1"/>
    <col min="1824" max="1824" width="8.26953125" style="12" customWidth="1"/>
    <col min="1825" max="1825" width="9.7265625" style="12" customWidth="1"/>
    <col min="1826" max="1826" width="8.1796875" style="12" customWidth="1"/>
    <col min="1827" max="1827" width="6.81640625" style="12" customWidth="1"/>
    <col min="1828" max="1828" width="7.7265625" style="12" customWidth="1"/>
    <col min="1829" max="1835" width="9.1796875" style="12" customWidth="1"/>
    <col min="1836" max="2045" width="8.7265625" style="12"/>
    <col min="2046" max="2047" width="8.81640625" style="12" customWidth="1"/>
    <col min="2048" max="2049" width="0.81640625" style="12" customWidth="1"/>
    <col min="2050" max="2050" width="3.81640625" style="12" customWidth="1"/>
    <col min="2051" max="2051" width="12.1796875" style="12" bestFit="1" customWidth="1"/>
    <col min="2052" max="2052" width="12" style="12" bestFit="1" customWidth="1"/>
    <col min="2053" max="2053" width="30.26953125" style="12" customWidth="1"/>
    <col min="2054" max="2054" width="5.453125" style="12" customWidth="1"/>
    <col min="2055" max="2055" width="2.453125" style="12" customWidth="1"/>
    <col min="2056" max="2056" width="8.7265625" style="12"/>
    <col min="2057" max="2057" width="12" style="12" customWidth="1"/>
    <col min="2058" max="2058" width="12" style="12" bestFit="1" customWidth="1"/>
    <col min="2059" max="2059" width="7.54296875" style="12" bestFit="1" customWidth="1"/>
    <col min="2060" max="2060" width="1.7265625" style="12" customWidth="1"/>
    <col min="2061" max="2061" width="2.453125" style="12" customWidth="1"/>
    <col min="2062" max="2062" width="8.7265625" style="12"/>
    <col min="2063" max="2064" width="12" style="12" customWidth="1"/>
    <col min="2065" max="2065" width="7.54296875" style="12" bestFit="1" customWidth="1"/>
    <col min="2066" max="2066" width="2.1796875" style="12" customWidth="1"/>
    <col min="2067" max="2069" width="9.26953125" style="12" bestFit="1" customWidth="1"/>
    <col min="2070" max="2077" width="9.1796875" style="12" customWidth="1"/>
    <col min="2078" max="2078" width="10.1796875" style="12" customWidth="1"/>
    <col min="2079" max="2079" width="5.81640625" style="12" customWidth="1"/>
    <col min="2080" max="2080" width="8.26953125" style="12" customWidth="1"/>
    <col min="2081" max="2081" width="9.7265625" style="12" customWidth="1"/>
    <col min="2082" max="2082" width="8.1796875" style="12" customWidth="1"/>
    <col min="2083" max="2083" width="6.81640625" style="12" customWidth="1"/>
    <col min="2084" max="2084" width="7.7265625" style="12" customWidth="1"/>
    <col min="2085" max="2091" width="9.1796875" style="12" customWidth="1"/>
    <col min="2092" max="2301" width="8.7265625" style="12"/>
    <col min="2302" max="2303" width="8.81640625" style="12" customWidth="1"/>
    <col min="2304" max="2305" width="0.81640625" style="12" customWidth="1"/>
    <col min="2306" max="2306" width="3.81640625" style="12" customWidth="1"/>
    <col min="2307" max="2307" width="12.1796875" style="12" bestFit="1" customWidth="1"/>
    <col min="2308" max="2308" width="12" style="12" bestFit="1" customWidth="1"/>
    <col min="2309" max="2309" width="30.26953125" style="12" customWidth="1"/>
    <col min="2310" max="2310" width="5.453125" style="12" customWidth="1"/>
    <col min="2311" max="2311" width="2.453125" style="12" customWidth="1"/>
    <col min="2312" max="2312" width="8.7265625" style="12"/>
    <col min="2313" max="2313" width="12" style="12" customWidth="1"/>
    <col min="2314" max="2314" width="12" style="12" bestFit="1" customWidth="1"/>
    <col min="2315" max="2315" width="7.54296875" style="12" bestFit="1" customWidth="1"/>
    <col min="2316" max="2316" width="1.7265625" style="12" customWidth="1"/>
    <col min="2317" max="2317" width="2.453125" style="12" customWidth="1"/>
    <col min="2318" max="2318" width="8.7265625" style="12"/>
    <col min="2319" max="2320" width="12" style="12" customWidth="1"/>
    <col min="2321" max="2321" width="7.54296875" style="12" bestFit="1" customWidth="1"/>
    <col min="2322" max="2322" width="2.1796875" style="12" customWidth="1"/>
    <col min="2323" max="2325" width="9.26953125" style="12" bestFit="1" customWidth="1"/>
    <col min="2326" max="2333" width="9.1796875" style="12" customWidth="1"/>
    <col min="2334" max="2334" width="10.1796875" style="12" customWidth="1"/>
    <col min="2335" max="2335" width="5.81640625" style="12" customWidth="1"/>
    <col min="2336" max="2336" width="8.26953125" style="12" customWidth="1"/>
    <col min="2337" max="2337" width="9.7265625" style="12" customWidth="1"/>
    <col min="2338" max="2338" width="8.1796875" style="12" customWidth="1"/>
    <col min="2339" max="2339" width="6.81640625" style="12" customWidth="1"/>
    <col min="2340" max="2340" width="7.7265625" style="12" customWidth="1"/>
    <col min="2341" max="2347" width="9.1796875" style="12" customWidth="1"/>
    <col min="2348" max="2557" width="8.7265625" style="12"/>
    <col min="2558" max="2559" width="8.81640625" style="12" customWidth="1"/>
    <col min="2560" max="2561" width="0.81640625" style="12" customWidth="1"/>
    <col min="2562" max="2562" width="3.81640625" style="12" customWidth="1"/>
    <col min="2563" max="2563" width="12.1796875" style="12" bestFit="1" customWidth="1"/>
    <col min="2564" max="2564" width="12" style="12" bestFit="1" customWidth="1"/>
    <col min="2565" max="2565" width="30.26953125" style="12" customWidth="1"/>
    <col min="2566" max="2566" width="5.453125" style="12" customWidth="1"/>
    <col min="2567" max="2567" width="2.453125" style="12" customWidth="1"/>
    <col min="2568" max="2568" width="8.7265625" style="12"/>
    <col min="2569" max="2569" width="12" style="12" customWidth="1"/>
    <col min="2570" max="2570" width="12" style="12" bestFit="1" customWidth="1"/>
    <col min="2571" max="2571" width="7.54296875" style="12" bestFit="1" customWidth="1"/>
    <col min="2572" max="2572" width="1.7265625" style="12" customWidth="1"/>
    <col min="2573" max="2573" width="2.453125" style="12" customWidth="1"/>
    <col min="2574" max="2574" width="8.7265625" style="12"/>
    <col min="2575" max="2576" width="12" style="12" customWidth="1"/>
    <col min="2577" max="2577" width="7.54296875" style="12" bestFit="1" customWidth="1"/>
    <col min="2578" max="2578" width="2.1796875" style="12" customWidth="1"/>
    <col min="2579" max="2581" width="9.26953125" style="12" bestFit="1" customWidth="1"/>
    <col min="2582" max="2589" width="9.1796875" style="12" customWidth="1"/>
    <col min="2590" max="2590" width="10.1796875" style="12" customWidth="1"/>
    <col min="2591" max="2591" width="5.81640625" style="12" customWidth="1"/>
    <col min="2592" max="2592" width="8.26953125" style="12" customWidth="1"/>
    <col min="2593" max="2593" width="9.7265625" style="12" customWidth="1"/>
    <col min="2594" max="2594" width="8.1796875" style="12" customWidth="1"/>
    <col min="2595" max="2595" width="6.81640625" style="12" customWidth="1"/>
    <col min="2596" max="2596" width="7.7265625" style="12" customWidth="1"/>
    <col min="2597" max="2603" width="9.1796875" style="12" customWidth="1"/>
    <col min="2604" max="2813" width="8.7265625" style="12"/>
    <col min="2814" max="2815" width="8.81640625" style="12" customWidth="1"/>
    <col min="2816" max="2817" width="0.81640625" style="12" customWidth="1"/>
    <col min="2818" max="2818" width="3.81640625" style="12" customWidth="1"/>
    <col min="2819" max="2819" width="12.1796875" style="12" bestFit="1" customWidth="1"/>
    <col min="2820" max="2820" width="12" style="12" bestFit="1" customWidth="1"/>
    <col min="2821" max="2821" width="30.26953125" style="12" customWidth="1"/>
    <col min="2822" max="2822" width="5.453125" style="12" customWidth="1"/>
    <col min="2823" max="2823" width="2.453125" style="12" customWidth="1"/>
    <col min="2824" max="2824" width="8.7265625" style="12"/>
    <col min="2825" max="2825" width="12" style="12" customWidth="1"/>
    <col min="2826" max="2826" width="12" style="12" bestFit="1" customWidth="1"/>
    <col min="2827" max="2827" width="7.54296875" style="12" bestFit="1" customWidth="1"/>
    <col min="2828" max="2828" width="1.7265625" style="12" customWidth="1"/>
    <col min="2829" max="2829" width="2.453125" style="12" customWidth="1"/>
    <col min="2830" max="2830" width="8.7265625" style="12"/>
    <col min="2831" max="2832" width="12" style="12" customWidth="1"/>
    <col min="2833" max="2833" width="7.54296875" style="12" bestFit="1" customWidth="1"/>
    <col min="2834" max="2834" width="2.1796875" style="12" customWidth="1"/>
    <col min="2835" max="2837" width="9.26953125" style="12" bestFit="1" customWidth="1"/>
    <col min="2838" max="2845" width="9.1796875" style="12" customWidth="1"/>
    <col min="2846" max="2846" width="10.1796875" style="12" customWidth="1"/>
    <col min="2847" max="2847" width="5.81640625" style="12" customWidth="1"/>
    <col min="2848" max="2848" width="8.26953125" style="12" customWidth="1"/>
    <col min="2849" max="2849" width="9.7265625" style="12" customWidth="1"/>
    <col min="2850" max="2850" width="8.1796875" style="12" customWidth="1"/>
    <col min="2851" max="2851" width="6.81640625" style="12" customWidth="1"/>
    <col min="2852" max="2852" width="7.7265625" style="12" customWidth="1"/>
    <col min="2853" max="2859" width="9.1796875" style="12" customWidth="1"/>
    <col min="2860" max="3069" width="8.7265625" style="12"/>
    <col min="3070" max="3071" width="8.81640625" style="12" customWidth="1"/>
    <col min="3072" max="3073" width="0.81640625" style="12" customWidth="1"/>
    <col min="3074" max="3074" width="3.81640625" style="12" customWidth="1"/>
    <col min="3075" max="3075" width="12.1796875" style="12" bestFit="1" customWidth="1"/>
    <col min="3076" max="3076" width="12" style="12" bestFit="1" customWidth="1"/>
    <col min="3077" max="3077" width="30.26953125" style="12" customWidth="1"/>
    <col min="3078" max="3078" width="5.453125" style="12" customWidth="1"/>
    <col min="3079" max="3079" width="2.453125" style="12" customWidth="1"/>
    <col min="3080" max="3080" width="8.7265625" style="12"/>
    <col min="3081" max="3081" width="12" style="12" customWidth="1"/>
    <col min="3082" max="3082" width="12" style="12" bestFit="1" customWidth="1"/>
    <col min="3083" max="3083" width="7.54296875" style="12" bestFit="1" customWidth="1"/>
    <col min="3084" max="3084" width="1.7265625" style="12" customWidth="1"/>
    <col min="3085" max="3085" width="2.453125" style="12" customWidth="1"/>
    <col min="3086" max="3086" width="8.7265625" style="12"/>
    <col min="3087" max="3088" width="12" style="12" customWidth="1"/>
    <col min="3089" max="3089" width="7.54296875" style="12" bestFit="1" customWidth="1"/>
    <col min="3090" max="3090" width="2.1796875" style="12" customWidth="1"/>
    <col min="3091" max="3093" width="9.26953125" style="12" bestFit="1" customWidth="1"/>
    <col min="3094" max="3101" width="9.1796875" style="12" customWidth="1"/>
    <col min="3102" max="3102" width="10.1796875" style="12" customWidth="1"/>
    <col min="3103" max="3103" width="5.81640625" style="12" customWidth="1"/>
    <col min="3104" max="3104" width="8.26953125" style="12" customWidth="1"/>
    <col min="3105" max="3105" width="9.7265625" style="12" customWidth="1"/>
    <col min="3106" max="3106" width="8.1796875" style="12" customWidth="1"/>
    <col min="3107" max="3107" width="6.81640625" style="12" customWidth="1"/>
    <col min="3108" max="3108" width="7.7265625" style="12" customWidth="1"/>
    <col min="3109" max="3115" width="9.1796875" style="12" customWidth="1"/>
    <col min="3116" max="3325" width="8.7265625" style="12"/>
    <col min="3326" max="3327" width="8.81640625" style="12" customWidth="1"/>
    <col min="3328" max="3329" width="0.81640625" style="12" customWidth="1"/>
    <col min="3330" max="3330" width="3.81640625" style="12" customWidth="1"/>
    <col min="3331" max="3331" width="12.1796875" style="12" bestFit="1" customWidth="1"/>
    <col min="3332" max="3332" width="12" style="12" bestFit="1" customWidth="1"/>
    <col min="3333" max="3333" width="30.26953125" style="12" customWidth="1"/>
    <col min="3334" max="3334" width="5.453125" style="12" customWidth="1"/>
    <col min="3335" max="3335" width="2.453125" style="12" customWidth="1"/>
    <col min="3336" max="3336" width="8.7265625" style="12"/>
    <col min="3337" max="3337" width="12" style="12" customWidth="1"/>
    <col min="3338" max="3338" width="12" style="12" bestFit="1" customWidth="1"/>
    <col min="3339" max="3339" width="7.54296875" style="12" bestFit="1" customWidth="1"/>
    <col min="3340" max="3340" width="1.7265625" style="12" customWidth="1"/>
    <col min="3341" max="3341" width="2.453125" style="12" customWidth="1"/>
    <col min="3342" max="3342" width="8.7265625" style="12"/>
    <col min="3343" max="3344" width="12" style="12" customWidth="1"/>
    <col min="3345" max="3345" width="7.54296875" style="12" bestFit="1" customWidth="1"/>
    <col min="3346" max="3346" width="2.1796875" style="12" customWidth="1"/>
    <col min="3347" max="3349" width="9.26953125" style="12" bestFit="1" customWidth="1"/>
    <col min="3350" max="3357" width="9.1796875" style="12" customWidth="1"/>
    <col min="3358" max="3358" width="10.1796875" style="12" customWidth="1"/>
    <col min="3359" max="3359" width="5.81640625" style="12" customWidth="1"/>
    <col min="3360" max="3360" width="8.26953125" style="12" customWidth="1"/>
    <col min="3361" max="3361" width="9.7265625" style="12" customWidth="1"/>
    <col min="3362" max="3362" width="8.1796875" style="12" customWidth="1"/>
    <col min="3363" max="3363" width="6.81640625" style="12" customWidth="1"/>
    <col min="3364" max="3364" width="7.7265625" style="12" customWidth="1"/>
    <col min="3365" max="3371" width="9.1796875" style="12" customWidth="1"/>
    <col min="3372" max="3581" width="8.7265625" style="12"/>
    <col min="3582" max="3583" width="8.81640625" style="12" customWidth="1"/>
    <col min="3584" max="3585" width="0.81640625" style="12" customWidth="1"/>
    <col min="3586" max="3586" width="3.81640625" style="12" customWidth="1"/>
    <col min="3587" max="3587" width="12.1796875" style="12" bestFit="1" customWidth="1"/>
    <col min="3588" max="3588" width="12" style="12" bestFit="1" customWidth="1"/>
    <col min="3589" max="3589" width="30.26953125" style="12" customWidth="1"/>
    <col min="3590" max="3590" width="5.453125" style="12" customWidth="1"/>
    <col min="3591" max="3591" width="2.453125" style="12" customWidth="1"/>
    <col min="3592" max="3592" width="8.7265625" style="12"/>
    <col min="3593" max="3593" width="12" style="12" customWidth="1"/>
    <col min="3594" max="3594" width="12" style="12" bestFit="1" customWidth="1"/>
    <col min="3595" max="3595" width="7.54296875" style="12" bestFit="1" customWidth="1"/>
    <col min="3596" max="3596" width="1.7265625" style="12" customWidth="1"/>
    <col min="3597" max="3597" width="2.453125" style="12" customWidth="1"/>
    <col min="3598" max="3598" width="8.7265625" style="12"/>
    <col min="3599" max="3600" width="12" style="12" customWidth="1"/>
    <col min="3601" max="3601" width="7.54296875" style="12" bestFit="1" customWidth="1"/>
    <col min="3602" max="3602" width="2.1796875" style="12" customWidth="1"/>
    <col min="3603" max="3605" width="9.26953125" style="12" bestFit="1" customWidth="1"/>
    <col min="3606" max="3613" width="9.1796875" style="12" customWidth="1"/>
    <col min="3614" max="3614" width="10.1796875" style="12" customWidth="1"/>
    <col min="3615" max="3615" width="5.81640625" style="12" customWidth="1"/>
    <col min="3616" max="3616" width="8.26953125" style="12" customWidth="1"/>
    <col min="3617" max="3617" width="9.7265625" style="12" customWidth="1"/>
    <col min="3618" max="3618" width="8.1796875" style="12" customWidth="1"/>
    <col min="3619" max="3619" width="6.81640625" style="12" customWidth="1"/>
    <col min="3620" max="3620" width="7.7265625" style="12" customWidth="1"/>
    <col min="3621" max="3627" width="9.1796875" style="12" customWidth="1"/>
    <col min="3628" max="3837" width="8.7265625" style="12"/>
    <col min="3838" max="3839" width="8.81640625" style="12" customWidth="1"/>
    <col min="3840" max="3841" width="0.81640625" style="12" customWidth="1"/>
    <col min="3842" max="3842" width="3.81640625" style="12" customWidth="1"/>
    <col min="3843" max="3843" width="12.1796875" style="12" bestFit="1" customWidth="1"/>
    <col min="3844" max="3844" width="12" style="12" bestFit="1" customWidth="1"/>
    <col min="3845" max="3845" width="30.26953125" style="12" customWidth="1"/>
    <col min="3846" max="3846" width="5.453125" style="12" customWidth="1"/>
    <col min="3847" max="3847" width="2.453125" style="12" customWidth="1"/>
    <col min="3848" max="3848" width="8.7265625" style="12"/>
    <col min="3849" max="3849" width="12" style="12" customWidth="1"/>
    <col min="3850" max="3850" width="12" style="12" bestFit="1" customWidth="1"/>
    <col min="3851" max="3851" width="7.54296875" style="12" bestFit="1" customWidth="1"/>
    <col min="3852" max="3852" width="1.7265625" style="12" customWidth="1"/>
    <col min="3853" max="3853" width="2.453125" style="12" customWidth="1"/>
    <col min="3854" max="3854" width="8.7265625" style="12"/>
    <col min="3855" max="3856" width="12" style="12" customWidth="1"/>
    <col min="3857" max="3857" width="7.54296875" style="12" bestFit="1" customWidth="1"/>
    <col min="3858" max="3858" width="2.1796875" style="12" customWidth="1"/>
    <col min="3859" max="3861" width="9.26953125" style="12" bestFit="1" customWidth="1"/>
    <col min="3862" max="3869" width="9.1796875" style="12" customWidth="1"/>
    <col min="3870" max="3870" width="10.1796875" style="12" customWidth="1"/>
    <col min="3871" max="3871" width="5.81640625" style="12" customWidth="1"/>
    <col min="3872" max="3872" width="8.26953125" style="12" customWidth="1"/>
    <col min="3873" max="3873" width="9.7265625" style="12" customWidth="1"/>
    <col min="3874" max="3874" width="8.1796875" style="12" customWidth="1"/>
    <col min="3875" max="3875" width="6.81640625" style="12" customWidth="1"/>
    <col min="3876" max="3876" width="7.7265625" style="12" customWidth="1"/>
    <col min="3877" max="3883" width="9.1796875" style="12" customWidth="1"/>
    <col min="3884" max="4093" width="8.7265625" style="12"/>
    <col min="4094" max="4095" width="8.81640625" style="12" customWidth="1"/>
    <col min="4096" max="4097" width="0.81640625" style="12" customWidth="1"/>
    <col min="4098" max="4098" width="3.81640625" style="12" customWidth="1"/>
    <col min="4099" max="4099" width="12.1796875" style="12" bestFit="1" customWidth="1"/>
    <col min="4100" max="4100" width="12" style="12" bestFit="1" customWidth="1"/>
    <col min="4101" max="4101" width="30.26953125" style="12" customWidth="1"/>
    <col min="4102" max="4102" width="5.453125" style="12" customWidth="1"/>
    <col min="4103" max="4103" width="2.453125" style="12" customWidth="1"/>
    <col min="4104" max="4104" width="8.7265625" style="12"/>
    <col min="4105" max="4105" width="12" style="12" customWidth="1"/>
    <col min="4106" max="4106" width="12" style="12" bestFit="1" customWidth="1"/>
    <col min="4107" max="4107" width="7.54296875" style="12" bestFit="1" customWidth="1"/>
    <col min="4108" max="4108" width="1.7265625" style="12" customWidth="1"/>
    <col min="4109" max="4109" width="2.453125" style="12" customWidth="1"/>
    <col min="4110" max="4110" width="8.7265625" style="12"/>
    <col min="4111" max="4112" width="12" style="12" customWidth="1"/>
    <col min="4113" max="4113" width="7.54296875" style="12" bestFit="1" customWidth="1"/>
    <col min="4114" max="4114" width="2.1796875" style="12" customWidth="1"/>
    <col min="4115" max="4117" width="9.26953125" style="12" bestFit="1" customWidth="1"/>
    <col min="4118" max="4125" width="9.1796875" style="12" customWidth="1"/>
    <col min="4126" max="4126" width="10.1796875" style="12" customWidth="1"/>
    <col min="4127" max="4127" width="5.81640625" style="12" customWidth="1"/>
    <col min="4128" max="4128" width="8.26953125" style="12" customWidth="1"/>
    <col min="4129" max="4129" width="9.7265625" style="12" customWidth="1"/>
    <col min="4130" max="4130" width="8.1796875" style="12" customWidth="1"/>
    <col min="4131" max="4131" width="6.81640625" style="12" customWidth="1"/>
    <col min="4132" max="4132" width="7.7265625" style="12" customWidth="1"/>
    <col min="4133" max="4139" width="9.1796875" style="12" customWidth="1"/>
    <col min="4140" max="4349" width="8.7265625" style="12"/>
    <col min="4350" max="4351" width="8.81640625" style="12" customWidth="1"/>
    <col min="4352" max="4353" width="0.81640625" style="12" customWidth="1"/>
    <col min="4354" max="4354" width="3.81640625" style="12" customWidth="1"/>
    <col min="4355" max="4355" width="12.1796875" style="12" bestFit="1" customWidth="1"/>
    <col min="4356" max="4356" width="12" style="12" bestFit="1" customWidth="1"/>
    <col min="4357" max="4357" width="30.26953125" style="12" customWidth="1"/>
    <col min="4358" max="4358" width="5.453125" style="12" customWidth="1"/>
    <col min="4359" max="4359" width="2.453125" style="12" customWidth="1"/>
    <col min="4360" max="4360" width="8.7265625" style="12"/>
    <col min="4361" max="4361" width="12" style="12" customWidth="1"/>
    <col min="4362" max="4362" width="12" style="12" bestFit="1" customWidth="1"/>
    <col min="4363" max="4363" width="7.54296875" style="12" bestFit="1" customWidth="1"/>
    <col min="4364" max="4364" width="1.7265625" style="12" customWidth="1"/>
    <col min="4365" max="4365" width="2.453125" style="12" customWidth="1"/>
    <col min="4366" max="4366" width="8.7265625" style="12"/>
    <col min="4367" max="4368" width="12" style="12" customWidth="1"/>
    <col min="4369" max="4369" width="7.54296875" style="12" bestFit="1" customWidth="1"/>
    <col min="4370" max="4370" width="2.1796875" style="12" customWidth="1"/>
    <col min="4371" max="4373" width="9.26953125" style="12" bestFit="1" customWidth="1"/>
    <col min="4374" max="4381" width="9.1796875" style="12" customWidth="1"/>
    <col min="4382" max="4382" width="10.1796875" style="12" customWidth="1"/>
    <col min="4383" max="4383" width="5.81640625" style="12" customWidth="1"/>
    <col min="4384" max="4384" width="8.26953125" style="12" customWidth="1"/>
    <col min="4385" max="4385" width="9.7265625" style="12" customWidth="1"/>
    <col min="4386" max="4386" width="8.1796875" style="12" customWidth="1"/>
    <col min="4387" max="4387" width="6.81640625" style="12" customWidth="1"/>
    <col min="4388" max="4388" width="7.7265625" style="12" customWidth="1"/>
    <col min="4389" max="4395" width="9.1796875" style="12" customWidth="1"/>
    <col min="4396" max="4605" width="8.7265625" style="12"/>
    <col min="4606" max="4607" width="8.81640625" style="12" customWidth="1"/>
    <col min="4608" max="4609" width="0.81640625" style="12" customWidth="1"/>
    <col min="4610" max="4610" width="3.81640625" style="12" customWidth="1"/>
    <col min="4611" max="4611" width="12.1796875" style="12" bestFit="1" customWidth="1"/>
    <col min="4612" max="4612" width="12" style="12" bestFit="1" customWidth="1"/>
    <col min="4613" max="4613" width="30.26953125" style="12" customWidth="1"/>
    <col min="4614" max="4614" width="5.453125" style="12" customWidth="1"/>
    <col min="4615" max="4615" width="2.453125" style="12" customWidth="1"/>
    <col min="4616" max="4616" width="8.7265625" style="12"/>
    <col min="4617" max="4617" width="12" style="12" customWidth="1"/>
    <col min="4618" max="4618" width="12" style="12" bestFit="1" customWidth="1"/>
    <col min="4619" max="4619" width="7.54296875" style="12" bestFit="1" customWidth="1"/>
    <col min="4620" max="4620" width="1.7265625" style="12" customWidth="1"/>
    <col min="4621" max="4621" width="2.453125" style="12" customWidth="1"/>
    <col min="4622" max="4622" width="8.7265625" style="12"/>
    <col min="4623" max="4624" width="12" style="12" customWidth="1"/>
    <col min="4625" max="4625" width="7.54296875" style="12" bestFit="1" customWidth="1"/>
    <col min="4626" max="4626" width="2.1796875" style="12" customWidth="1"/>
    <col min="4627" max="4629" width="9.26953125" style="12" bestFit="1" customWidth="1"/>
    <col min="4630" max="4637" width="9.1796875" style="12" customWidth="1"/>
    <col min="4638" max="4638" width="10.1796875" style="12" customWidth="1"/>
    <col min="4639" max="4639" width="5.81640625" style="12" customWidth="1"/>
    <col min="4640" max="4640" width="8.26953125" style="12" customWidth="1"/>
    <col min="4641" max="4641" width="9.7265625" style="12" customWidth="1"/>
    <col min="4642" max="4642" width="8.1796875" style="12" customWidth="1"/>
    <col min="4643" max="4643" width="6.81640625" style="12" customWidth="1"/>
    <col min="4644" max="4644" width="7.7265625" style="12" customWidth="1"/>
    <col min="4645" max="4651" width="9.1796875" style="12" customWidth="1"/>
    <col min="4652" max="4861" width="8.7265625" style="12"/>
    <col min="4862" max="4863" width="8.81640625" style="12" customWidth="1"/>
    <col min="4864" max="4865" width="0.81640625" style="12" customWidth="1"/>
    <col min="4866" max="4866" width="3.81640625" style="12" customWidth="1"/>
    <col min="4867" max="4867" width="12.1796875" style="12" bestFit="1" customWidth="1"/>
    <col min="4868" max="4868" width="12" style="12" bestFit="1" customWidth="1"/>
    <col min="4869" max="4869" width="30.26953125" style="12" customWidth="1"/>
    <col min="4870" max="4870" width="5.453125" style="12" customWidth="1"/>
    <col min="4871" max="4871" width="2.453125" style="12" customWidth="1"/>
    <col min="4872" max="4872" width="8.7265625" style="12"/>
    <col min="4873" max="4873" width="12" style="12" customWidth="1"/>
    <col min="4874" max="4874" width="12" style="12" bestFit="1" customWidth="1"/>
    <col min="4875" max="4875" width="7.54296875" style="12" bestFit="1" customWidth="1"/>
    <col min="4876" max="4876" width="1.7265625" style="12" customWidth="1"/>
    <col min="4877" max="4877" width="2.453125" style="12" customWidth="1"/>
    <col min="4878" max="4878" width="8.7265625" style="12"/>
    <col min="4879" max="4880" width="12" style="12" customWidth="1"/>
    <col min="4881" max="4881" width="7.54296875" style="12" bestFit="1" customWidth="1"/>
    <col min="4882" max="4882" width="2.1796875" style="12" customWidth="1"/>
    <col min="4883" max="4885" width="9.26953125" style="12" bestFit="1" customWidth="1"/>
    <col min="4886" max="4893" width="9.1796875" style="12" customWidth="1"/>
    <col min="4894" max="4894" width="10.1796875" style="12" customWidth="1"/>
    <col min="4895" max="4895" width="5.81640625" style="12" customWidth="1"/>
    <col min="4896" max="4896" width="8.26953125" style="12" customWidth="1"/>
    <col min="4897" max="4897" width="9.7265625" style="12" customWidth="1"/>
    <col min="4898" max="4898" width="8.1796875" style="12" customWidth="1"/>
    <col min="4899" max="4899" width="6.81640625" style="12" customWidth="1"/>
    <col min="4900" max="4900" width="7.7265625" style="12" customWidth="1"/>
    <col min="4901" max="4907" width="9.1796875" style="12" customWidth="1"/>
    <col min="4908" max="5117" width="8.7265625" style="12"/>
    <col min="5118" max="5119" width="8.81640625" style="12" customWidth="1"/>
    <col min="5120" max="5121" width="0.81640625" style="12" customWidth="1"/>
    <col min="5122" max="5122" width="3.81640625" style="12" customWidth="1"/>
    <col min="5123" max="5123" width="12.1796875" style="12" bestFit="1" customWidth="1"/>
    <col min="5124" max="5124" width="12" style="12" bestFit="1" customWidth="1"/>
    <col min="5125" max="5125" width="30.26953125" style="12" customWidth="1"/>
    <col min="5126" max="5126" width="5.453125" style="12" customWidth="1"/>
    <col min="5127" max="5127" width="2.453125" style="12" customWidth="1"/>
    <col min="5128" max="5128" width="8.7265625" style="12"/>
    <col min="5129" max="5129" width="12" style="12" customWidth="1"/>
    <col min="5130" max="5130" width="12" style="12" bestFit="1" customWidth="1"/>
    <col min="5131" max="5131" width="7.54296875" style="12" bestFit="1" customWidth="1"/>
    <col min="5132" max="5132" width="1.7265625" style="12" customWidth="1"/>
    <col min="5133" max="5133" width="2.453125" style="12" customWidth="1"/>
    <col min="5134" max="5134" width="8.7265625" style="12"/>
    <col min="5135" max="5136" width="12" style="12" customWidth="1"/>
    <col min="5137" max="5137" width="7.54296875" style="12" bestFit="1" customWidth="1"/>
    <col min="5138" max="5138" width="2.1796875" style="12" customWidth="1"/>
    <col min="5139" max="5141" width="9.26953125" style="12" bestFit="1" customWidth="1"/>
    <col min="5142" max="5149" width="9.1796875" style="12" customWidth="1"/>
    <col min="5150" max="5150" width="10.1796875" style="12" customWidth="1"/>
    <col min="5151" max="5151" width="5.81640625" style="12" customWidth="1"/>
    <col min="5152" max="5152" width="8.26953125" style="12" customWidth="1"/>
    <col min="5153" max="5153" width="9.7265625" style="12" customWidth="1"/>
    <col min="5154" max="5154" width="8.1796875" style="12" customWidth="1"/>
    <col min="5155" max="5155" width="6.81640625" style="12" customWidth="1"/>
    <col min="5156" max="5156" width="7.7265625" style="12" customWidth="1"/>
    <col min="5157" max="5163" width="9.1796875" style="12" customWidth="1"/>
    <col min="5164" max="5373" width="8.7265625" style="12"/>
    <col min="5374" max="5375" width="8.81640625" style="12" customWidth="1"/>
    <col min="5376" max="5377" width="0.81640625" style="12" customWidth="1"/>
    <col min="5378" max="5378" width="3.81640625" style="12" customWidth="1"/>
    <col min="5379" max="5379" width="12.1796875" style="12" bestFit="1" customWidth="1"/>
    <col min="5380" max="5380" width="12" style="12" bestFit="1" customWidth="1"/>
    <col min="5381" max="5381" width="30.26953125" style="12" customWidth="1"/>
    <col min="5382" max="5382" width="5.453125" style="12" customWidth="1"/>
    <col min="5383" max="5383" width="2.453125" style="12" customWidth="1"/>
    <col min="5384" max="5384" width="8.7265625" style="12"/>
    <col min="5385" max="5385" width="12" style="12" customWidth="1"/>
    <col min="5386" max="5386" width="12" style="12" bestFit="1" customWidth="1"/>
    <col min="5387" max="5387" width="7.54296875" style="12" bestFit="1" customWidth="1"/>
    <col min="5388" max="5388" width="1.7265625" style="12" customWidth="1"/>
    <col min="5389" max="5389" width="2.453125" style="12" customWidth="1"/>
    <col min="5390" max="5390" width="8.7265625" style="12"/>
    <col min="5391" max="5392" width="12" style="12" customWidth="1"/>
    <col min="5393" max="5393" width="7.54296875" style="12" bestFit="1" customWidth="1"/>
    <col min="5394" max="5394" width="2.1796875" style="12" customWidth="1"/>
    <col min="5395" max="5397" width="9.26953125" style="12" bestFit="1" customWidth="1"/>
    <col min="5398" max="5405" width="9.1796875" style="12" customWidth="1"/>
    <col min="5406" max="5406" width="10.1796875" style="12" customWidth="1"/>
    <col min="5407" max="5407" width="5.81640625" style="12" customWidth="1"/>
    <col min="5408" max="5408" width="8.26953125" style="12" customWidth="1"/>
    <col min="5409" max="5409" width="9.7265625" style="12" customWidth="1"/>
    <col min="5410" max="5410" width="8.1796875" style="12" customWidth="1"/>
    <col min="5411" max="5411" width="6.81640625" style="12" customWidth="1"/>
    <col min="5412" max="5412" width="7.7265625" style="12" customWidth="1"/>
    <col min="5413" max="5419" width="9.1796875" style="12" customWidth="1"/>
    <col min="5420" max="5629" width="8.7265625" style="12"/>
    <col min="5630" max="5631" width="8.81640625" style="12" customWidth="1"/>
    <col min="5632" max="5633" width="0.81640625" style="12" customWidth="1"/>
    <col min="5634" max="5634" width="3.81640625" style="12" customWidth="1"/>
    <col min="5635" max="5635" width="12.1796875" style="12" bestFit="1" customWidth="1"/>
    <col min="5636" max="5636" width="12" style="12" bestFit="1" customWidth="1"/>
    <col min="5637" max="5637" width="30.26953125" style="12" customWidth="1"/>
    <col min="5638" max="5638" width="5.453125" style="12" customWidth="1"/>
    <col min="5639" max="5639" width="2.453125" style="12" customWidth="1"/>
    <col min="5640" max="5640" width="8.7265625" style="12"/>
    <col min="5641" max="5641" width="12" style="12" customWidth="1"/>
    <col min="5642" max="5642" width="12" style="12" bestFit="1" customWidth="1"/>
    <col min="5643" max="5643" width="7.54296875" style="12" bestFit="1" customWidth="1"/>
    <col min="5644" max="5644" width="1.7265625" style="12" customWidth="1"/>
    <col min="5645" max="5645" width="2.453125" style="12" customWidth="1"/>
    <col min="5646" max="5646" width="8.7265625" style="12"/>
    <col min="5647" max="5648" width="12" style="12" customWidth="1"/>
    <col min="5649" max="5649" width="7.54296875" style="12" bestFit="1" customWidth="1"/>
    <col min="5650" max="5650" width="2.1796875" style="12" customWidth="1"/>
    <col min="5651" max="5653" width="9.26953125" style="12" bestFit="1" customWidth="1"/>
    <col min="5654" max="5661" width="9.1796875" style="12" customWidth="1"/>
    <col min="5662" max="5662" width="10.1796875" style="12" customWidth="1"/>
    <col min="5663" max="5663" width="5.81640625" style="12" customWidth="1"/>
    <col min="5664" max="5664" width="8.26953125" style="12" customWidth="1"/>
    <col min="5665" max="5665" width="9.7265625" style="12" customWidth="1"/>
    <col min="5666" max="5666" width="8.1796875" style="12" customWidth="1"/>
    <col min="5667" max="5667" width="6.81640625" style="12" customWidth="1"/>
    <col min="5668" max="5668" width="7.7265625" style="12" customWidth="1"/>
    <col min="5669" max="5675" width="9.1796875" style="12" customWidth="1"/>
    <col min="5676" max="5885" width="8.7265625" style="12"/>
    <col min="5886" max="5887" width="8.81640625" style="12" customWidth="1"/>
    <col min="5888" max="5889" width="0.81640625" style="12" customWidth="1"/>
    <col min="5890" max="5890" width="3.81640625" style="12" customWidth="1"/>
    <col min="5891" max="5891" width="12.1796875" style="12" bestFit="1" customWidth="1"/>
    <col min="5892" max="5892" width="12" style="12" bestFit="1" customWidth="1"/>
    <col min="5893" max="5893" width="30.26953125" style="12" customWidth="1"/>
    <col min="5894" max="5894" width="5.453125" style="12" customWidth="1"/>
    <col min="5895" max="5895" width="2.453125" style="12" customWidth="1"/>
    <col min="5896" max="5896" width="8.7265625" style="12"/>
    <col min="5897" max="5897" width="12" style="12" customWidth="1"/>
    <col min="5898" max="5898" width="12" style="12" bestFit="1" customWidth="1"/>
    <col min="5899" max="5899" width="7.54296875" style="12" bestFit="1" customWidth="1"/>
    <col min="5900" max="5900" width="1.7265625" style="12" customWidth="1"/>
    <col min="5901" max="5901" width="2.453125" style="12" customWidth="1"/>
    <col min="5902" max="5902" width="8.7265625" style="12"/>
    <col min="5903" max="5904" width="12" style="12" customWidth="1"/>
    <col min="5905" max="5905" width="7.54296875" style="12" bestFit="1" customWidth="1"/>
    <col min="5906" max="5906" width="2.1796875" style="12" customWidth="1"/>
    <col min="5907" max="5909" width="9.26953125" style="12" bestFit="1" customWidth="1"/>
    <col min="5910" max="5917" width="9.1796875" style="12" customWidth="1"/>
    <col min="5918" max="5918" width="10.1796875" style="12" customWidth="1"/>
    <col min="5919" max="5919" width="5.81640625" style="12" customWidth="1"/>
    <col min="5920" max="5920" width="8.26953125" style="12" customWidth="1"/>
    <col min="5921" max="5921" width="9.7265625" style="12" customWidth="1"/>
    <col min="5922" max="5922" width="8.1796875" style="12" customWidth="1"/>
    <col min="5923" max="5923" width="6.81640625" style="12" customWidth="1"/>
    <col min="5924" max="5924" width="7.7265625" style="12" customWidth="1"/>
    <col min="5925" max="5931" width="9.1796875" style="12" customWidth="1"/>
    <col min="5932" max="6141" width="8.7265625" style="12"/>
    <col min="6142" max="6143" width="8.81640625" style="12" customWidth="1"/>
    <col min="6144" max="6145" width="0.81640625" style="12" customWidth="1"/>
    <col min="6146" max="6146" width="3.81640625" style="12" customWidth="1"/>
    <col min="6147" max="6147" width="12.1796875" style="12" bestFit="1" customWidth="1"/>
    <col min="6148" max="6148" width="12" style="12" bestFit="1" customWidth="1"/>
    <col min="6149" max="6149" width="30.26953125" style="12" customWidth="1"/>
    <col min="6150" max="6150" width="5.453125" style="12" customWidth="1"/>
    <col min="6151" max="6151" width="2.453125" style="12" customWidth="1"/>
    <col min="6152" max="6152" width="8.7265625" style="12"/>
    <col min="6153" max="6153" width="12" style="12" customWidth="1"/>
    <col min="6154" max="6154" width="12" style="12" bestFit="1" customWidth="1"/>
    <col min="6155" max="6155" width="7.54296875" style="12" bestFit="1" customWidth="1"/>
    <col min="6156" max="6156" width="1.7265625" style="12" customWidth="1"/>
    <col min="6157" max="6157" width="2.453125" style="12" customWidth="1"/>
    <col min="6158" max="6158" width="8.7265625" style="12"/>
    <col min="6159" max="6160" width="12" style="12" customWidth="1"/>
    <col min="6161" max="6161" width="7.54296875" style="12" bestFit="1" customWidth="1"/>
    <col min="6162" max="6162" width="2.1796875" style="12" customWidth="1"/>
    <col min="6163" max="6165" width="9.26953125" style="12" bestFit="1" customWidth="1"/>
    <col min="6166" max="6173" width="9.1796875" style="12" customWidth="1"/>
    <col min="6174" max="6174" width="10.1796875" style="12" customWidth="1"/>
    <col min="6175" max="6175" width="5.81640625" style="12" customWidth="1"/>
    <col min="6176" max="6176" width="8.26953125" style="12" customWidth="1"/>
    <col min="6177" max="6177" width="9.7265625" style="12" customWidth="1"/>
    <col min="6178" max="6178" width="8.1796875" style="12" customWidth="1"/>
    <col min="6179" max="6179" width="6.81640625" style="12" customWidth="1"/>
    <col min="6180" max="6180" width="7.7265625" style="12" customWidth="1"/>
    <col min="6181" max="6187" width="9.1796875" style="12" customWidth="1"/>
    <col min="6188" max="6397" width="8.7265625" style="12"/>
    <col min="6398" max="6399" width="8.81640625" style="12" customWidth="1"/>
    <col min="6400" max="6401" width="0.81640625" style="12" customWidth="1"/>
    <col min="6402" max="6402" width="3.81640625" style="12" customWidth="1"/>
    <col min="6403" max="6403" width="12.1796875" style="12" bestFit="1" customWidth="1"/>
    <col min="6404" max="6404" width="12" style="12" bestFit="1" customWidth="1"/>
    <col min="6405" max="6405" width="30.26953125" style="12" customWidth="1"/>
    <col min="6406" max="6406" width="5.453125" style="12" customWidth="1"/>
    <col min="6407" max="6407" width="2.453125" style="12" customWidth="1"/>
    <col min="6408" max="6408" width="8.7265625" style="12"/>
    <col min="6409" max="6409" width="12" style="12" customWidth="1"/>
    <col min="6410" max="6410" width="12" style="12" bestFit="1" customWidth="1"/>
    <col min="6411" max="6411" width="7.54296875" style="12" bestFit="1" customWidth="1"/>
    <col min="6412" max="6412" width="1.7265625" style="12" customWidth="1"/>
    <col min="6413" max="6413" width="2.453125" style="12" customWidth="1"/>
    <col min="6414" max="6414" width="8.7265625" style="12"/>
    <col min="6415" max="6416" width="12" style="12" customWidth="1"/>
    <col min="6417" max="6417" width="7.54296875" style="12" bestFit="1" customWidth="1"/>
    <col min="6418" max="6418" width="2.1796875" style="12" customWidth="1"/>
    <col min="6419" max="6421" width="9.26953125" style="12" bestFit="1" customWidth="1"/>
    <col min="6422" max="6429" width="9.1796875" style="12" customWidth="1"/>
    <col min="6430" max="6430" width="10.1796875" style="12" customWidth="1"/>
    <col min="6431" max="6431" width="5.81640625" style="12" customWidth="1"/>
    <col min="6432" max="6432" width="8.26953125" style="12" customWidth="1"/>
    <col min="6433" max="6433" width="9.7265625" style="12" customWidth="1"/>
    <col min="6434" max="6434" width="8.1796875" style="12" customWidth="1"/>
    <col min="6435" max="6435" width="6.81640625" style="12" customWidth="1"/>
    <col min="6436" max="6436" width="7.7265625" style="12" customWidth="1"/>
    <col min="6437" max="6443" width="9.1796875" style="12" customWidth="1"/>
    <col min="6444" max="6653" width="8.7265625" style="12"/>
    <col min="6654" max="6655" width="8.81640625" style="12" customWidth="1"/>
    <col min="6656" max="6657" width="0.81640625" style="12" customWidth="1"/>
    <col min="6658" max="6658" width="3.81640625" style="12" customWidth="1"/>
    <col min="6659" max="6659" width="12.1796875" style="12" bestFit="1" customWidth="1"/>
    <col min="6660" max="6660" width="12" style="12" bestFit="1" customWidth="1"/>
    <col min="6661" max="6661" width="30.26953125" style="12" customWidth="1"/>
    <col min="6662" max="6662" width="5.453125" style="12" customWidth="1"/>
    <col min="6663" max="6663" width="2.453125" style="12" customWidth="1"/>
    <col min="6664" max="6664" width="8.7265625" style="12"/>
    <col min="6665" max="6665" width="12" style="12" customWidth="1"/>
    <col min="6666" max="6666" width="12" style="12" bestFit="1" customWidth="1"/>
    <col min="6667" max="6667" width="7.54296875" style="12" bestFit="1" customWidth="1"/>
    <col min="6668" max="6668" width="1.7265625" style="12" customWidth="1"/>
    <col min="6669" max="6669" width="2.453125" style="12" customWidth="1"/>
    <col min="6670" max="6670" width="8.7265625" style="12"/>
    <col min="6671" max="6672" width="12" style="12" customWidth="1"/>
    <col min="6673" max="6673" width="7.54296875" style="12" bestFit="1" customWidth="1"/>
    <col min="6674" max="6674" width="2.1796875" style="12" customWidth="1"/>
    <col min="6675" max="6677" width="9.26953125" style="12" bestFit="1" customWidth="1"/>
    <col min="6678" max="6685" width="9.1796875" style="12" customWidth="1"/>
    <col min="6686" max="6686" width="10.1796875" style="12" customWidth="1"/>
    <col min="6687" max="6687" width="5.81640625" style="12" customWidth="1"/>
    <col min="6688" max="6688" width="8.26953125" style="12" customWidth="1"/>
    <col min="6689" max="6689" width="9.7265625" style="12" customWidth="1"/>
    <col min="6690" max="6690" width="8.1796875" style="12" customWidth="1"/>
    <col min="6691" max="6691" width="6.81640625" style="12" customWidth="1"/>
    <col min="6692" max="6692" width="7.7265625" style="12" customWidth="1"/>
    <col min="6693" max="6699" width="9.1796875" style="12" customWidth="1"/>
    <col min="6700" max="6909" width="8.7265625" style="12"/>
    <col min="6910" max="6911" width="8.81640625" style="12" customWidth="1"/>
    <col min="6912" max="6913" width="0.81640625" style="12" customWidth="1"/>
    <col min="6914" max="6914" width="3.81640625" style="12" customWidth="1"/>
    <col min="6915" max="6915" width="12.1796875" style="12" bestFit="1" customWidth="1"/>
    <col min="6916" max="6916" width="12" style="12" bestFit="1" customWidth="1"/>
    <col min="6917" max="6917" width="30.26953125" style="12" customWidth="1"/>
    <col min="6918" max="6918" width="5.453125" style="12" customWidth="1"/>
    <col min="6919" max="6919" width="2.453125" style="12" customWidth="1"/>
    <col min="6920" max="6920" width="8.7265625" style="12"/>
    <col min="6921" max="6921" width="12" style="12" customWidth="1"/>
    <col min="6922" max="6922" width="12" style="12" bestFit="1" customWidth="1"/>
    <col min="6923" max="6923" width="7.54296875" style="12" bestFit="1" customWidth="1"/>
    <col min="6924" max="6924" width="1.7265625" style="12" customWidth="1"/>
    <col min="6925" max="6925" width="2.453125" style="12" customWidth="1"/>
    <col min="6926" max="6926" width="8.7265625" style="12"/>
    <col min="6927" max="6928" width="12" style="12" customWidth="1"/>
    <col min="6929" max="6929" width="7.54296875" style="12" bestFit="1" customWidth="1"/>
    <col min="6930" max="6930" width="2.1796875" style="12" customWidth="1"/>
    <col min="6931" max="6933" width="9.26953125" style="12" bestFit="1" customWidth="1"/>
    <col min="6934" max="6941" width="9.1796875" style="12" customWidth="1"/>
    <col min="6942" max="6942" width="10.1796875" style="12" customWidth="1"/>
    <col min="6943" max="6943" width="5.81640625" style="12" customWidth="1"/>
    <col min="6944" max="6944" width="8.26953125" style="12" customWidth="1"/>
    <col min="6945" max="6945" width="9.7265625" style="12" customWidth="1"/>
    <col min="6946" max="6946" width="8.1796875" style="12" customWidth="1"/>
    <col min="6947" max="6947" width="6.81640625" style="12" customWidth="1"/>
    <col min="6948" max="6948" width="7.7265625" style="12" customWidth="1"/>
    <col min="6949" max="6955" width="9.1796875" style="12" customWidth="1"/>
    <col min="6956" max="7165" width="8.7265625" style="12"/>
    <col min="7166" max="7167" width="8.81640625" style="12" customWidth="1"/>
    <col min="7168" max="7169" width="0.81640625" style="12" customWidth="1"/>
    <col min="7170" max="7170" width="3.81640625" style="12" customWidth="1"/>
    <col min="7171" max="7171" width="12.1796875" style="12" bestFit="1" customWidth="1"/>
    <col min="7172" max="7172" width="12" style="12" bestFit="1" customWidth="1"/>
    <col min="7173" max="7173" width="30.26953125" style="12" customWidth="1"/>
    <col min="7174" max="7174" width="5.453125" style="12" customWidth="1"/>
    <col min="7175" max="7175" width="2.453125" style="12" customWidth="1"/>
    <col min="7176" max="7176" width="8.7265625" style="12"/>
    <col min="7177" max="7177" width="12" style="12" customWidth="1"/>
    <col min="7178" max="7178" width="12" style="12" bestFit="1" customWidth="1"/>
    <col min="7179" max="7179" width="7.54296875" style="12" bestFit="1" customWidth="1"/>
    <col min="7180" max="7180" width="1.7265625" style="12" customWidth="1"/>
    <col min="7181" max="7181" width="2.453125" style="12" customWidth="1"/>
    <col min="7182" max="7182" width="8.7265625" style="12"/>
    <col min="7183" max="7184" width="12" style="12" customWidth="1"/>
    <col min="7185" max="7185" width="7.54296875" style="12" bestFit="1" customWidth="1"/>
    <col min="7186" max="7186" width="2.1796875" style="12" customWidth="1"/>
    <col min="7187" max="7189" width="9.26953125" style="12" bestFit="1" customWidth="1"/>
    <col min="7190" max="7197" width="9.1796875" style="12" customWidth="1"/>
    <col min="7198" max="7198" width="10.1796875" style="12" customWidth="1"/>
    <col min="7199" max="7199" width="5.81640625" style="12" customWidth="1"/>
    <col min="7200" max="7200" width="8.26953125" style="12" customWidth="1"/>
    <col min="7201" max="7201" width="9.7265625" style="12" customWidth="1"/>
    <col min="7202" max="7202" width="8.1796875" style="12" customWidth="1"/>
    <col min="7203" max="7203" width="6.81640625" style="12" customWidth="1"/>
    <col min="7204" max="7204" width="7.7265625" style="12" customWidth="1"/>
    <col min="7205" max="7211" width="9.1796875" style="12" customWidth="1"/>
    <col min="7212" max="7421" width="8.7265625" style="12"/>
    <col min="7422" max="7423" width="8.81640625" style="12" customWidth="1"/>
    <col min="7424" max="7425" width="0.81640625" style="12" customWidth="1"/>
    <col min="7426" max="7426" width="3.81640625" style="12" customWidth="1"/>
    <col min="7427" max="7427" width="12.1796875" style="12" bestFit="1" customWidth="1"/>
    <col min="7428" max="7428" width="12" style="12" bestFit="1" customWidth="1"/>
    <col min="7429" max="7429" width="30.26953125" style="12" customWidth="1"/>
    <col min="7430" max="7430" width="5.453125" style="12" customWidth="1"/>
    <col min="7431" max="7431" width="2.453125" style="12" customWidth="1"/>
    <col min="7432" max="7432" width="8.7265625" style="12"/>
    <col min="7433" max="7433" width="12" style="12" customWidth="1"/>
    <col min="7434" max="7434" width="12" style="12" bestFit="1" customWidth="1"/>
    <col min="7435" max="7435" width="7.54296875" style="12" bestFit="1" customWidth="1"/>
    <col min="7436" max="7436" width="1.7265625" style="12" customWidth="1"/>
    <col min="7437" max="7437" width="2.453125" style="12" customWidth="1"/>
    <col min="7438" max="7438" width="8.7265625" style="12"/>
    <col min="7439" max="7440" width="12" style="12" customWidth="1"/>
    <col min="7441" max="7441" width="7.54296875" style="12" bestFit="1" customWidth="1"/>
    <col min="7442" max="7442" width="2.1796875" style="12" customWidth="1"/>
    <col min="7443" max="7445" width="9.26953125" style="12" bestFit="1" customWidth="1"/>
    <col min="7446" max="7453" width="9.1796875" style="12" customWidth="1"/>
    <col min="7454" max="7454" width="10.1796875" style="12" customWidth="1"/>
    <col min="7455" max="7455" width="5.81640625" style="12" customWidth="1"/>
    <col min="7456" max="7456" width="8.26953125" style="12" customWidth="1"/>
    <col min="7457" max="7457" width="9.7265625" style="12" customWidth="1"/>
    <col min="7458" max="7458" width="8.1796875" style="12" customWidth="1"/>
    <col min="7459" max="7459" width="6.81640625" style="12" customWidth="1"/>
    <col min="7460" max="7460" width="7.7265625" style="12" customWidth="1"/>
    <col min="7461" max="7467" width="9.1796875" style="12" customWidth="1"/>
    <col min="7468" max="7677" width="8.7265625" style="12"/>
    <col min="7678" max="7679" width="8.81640625" style="12" customWidth="1"/>
    <col min="7680" max="7681" width="0.81640625" style="12" customWidth="1"/>
    <col min="7682" max="7682" width="3.81640625" style="12" customWidth="1"/>
    <col min="7683" max="7683" width="12.1796875" style="12" bestFit="1" customWidth="1"/>
    <col min="7684" max="7684" width="12" style="12" bestFit="1" customWidth="1"/>
    <col min="7685" max="7685" width="30.26953125" style="12" customWidth="1"/>
    <col min="7686" max="7686" width="5.453125" style="12" customWidth="1"/>
    <col min="7687" max="7687" width="2.453125" style="12" customWidth="1"/>
    <col min="7688" max="7688" width="8.7265625" style="12"/>
    <col min="7689" max="7689" width="12" style="12" customWidth="1"/>
    <col min="7690" max="7690" width="12" style="12" bestFit="1" customWidth="1"/>
    <col min="7691" max="7691" width="7.54296875" style="12" bestFit="1" customWidth="1"/>
    <col min="7692" max="7692" width="1.7265625" style="12" customWidth="1"/>
    <col min="7693" max="7693" width="2.453125" style="12" customWidth="1"/>
    <col min="7694" max="7694" width="8.7265625" style="12"/>
    <col min="7695" max="7696" width="12" style="12" customWidth="1"/>
    <col min="7697" max="7697" width="7.54296875" style="12" bestFit="1" customWidth="1"/>
    <col min="7698" max="7698" width="2.1796875" style="12" customWidth="1"/>
    <col min="7699" max="7701" width="9.26953125" style="12" bestFit="1" customWidth="1"/>
    <col min="7702" max="7709" width="9.1796875" style="12" customWidth="1"/>
    <col min="7710" max="7710" width="10.1796875" style="12" customWidth="1"/>
    <col min="7711" max="7711" width="5.81640625" style="12" customWidth="1"/>
    <col min="7712" max="7712" width="8.26953125" style="12" customWidth="1"/>
    <col min="7713" max="7713" width="9.7265625" style="12" customWidth="1"/>
    <col min="7714" max="7714" width="8.1796875" style="12" customWidth="1"/>
    <col min="7715" max="7715" width="6.81640625" style="12" customWidth="1"/>
    <col min="7716" max="7716" width="7.7265625" style="12" customWidth="1"/>
    <col min="7717" max="7723" width="9.1796875" style="12" customWidth="1"/>
    <col min="7724" max="7933" width="8.7265625" style="12"/>
    <col min="7934" max="7935" width="8.81640625" style="12" customWidth="1"/>
    <col min="7936" max="7937" width="0.81640625" style="12" customWidth="1"/>
    <col min="7938" max="7938" width="3.81640625" style="12" customWidth="1"/>
    <col min="7939" max="7939" width="12.1796875" style="12" bestFit="1" customWidth="1"/>
    <col min="7940" max="7940" width="12" style="12" bestFit="1" customWidth="1"/>
    <col min="7941" max="7941" width="30.26953125" style="12" customWidth="1"/>
    <col min="7942" max="7942" width="5.453125" style="12" customWidth="1"/>
    <col min="7943" max="7943" width="2.453125" style="12" customWidth="1"/>
    <col min="7944" max="7944" width="8.7265625" style="12"/>
    <col min="7945" max="7945" width="12" style="12" customWidth="1"/>
    <col min="7946" max="7946" width="12" style="12" bestFit="1" customWidth="1"/>
    <col min="7947" max="7947" width="7.54296875" style="12" bestFit="1" customWidth="1"/>
    <col min="7948" max="7948" width="1.7265625" style="12" customWidth="1"/>
    <col min="7949" max="7949" width="2.453125" style="12" customWidth="1"/>
    <col min="7950" max="7950" width="8.7265625" style="12"/>
    <col min="7951" max="7952" width="12" style="12" customWidth="1"/>
    <col min="7953" max="7953" width="7.54296875" style="12" bestFit="1" customWidth="1"/>
    <col min="7954" max="7954" width="2.1796875" style="12" customWidth="1"/>
    <col min="7955" max="7957" width="9.26953125" style="12" bestFit="1" customWidth="1"/>
    <col min="7958" max="7965" width="9.1796875" style="12" customWidth="1"/>
    <col min="7966" max="7966" width="10.1796875" style="12" customWidth="1"/>
    <col min="7967" max="7967" width="5.81640625" style="12" customWidth="1"/>
    <col min="7968" max="7968" width="8.26953125" style="12" customWidth="1"/>
    <col min="7969" max="7969" width="9.7265625" style="12" customWidth="1"/>
    <col min="7970" max="7970" width="8.1796875" style="12" customWidth="1"/>
    <col min="7971" max="7971" width="6.81640625" style="12" customWidth="1"/>
    <col min="7972" max="7972" width="7.7265625" style="12" customWidth="1"/>
    <col min="7973" max="7979" width="9.1796875" style="12" customWidth="1"/>
    <col min="7980" max="8189" width="8.7265625" style="12"/>
    <col min="8190" max="8191" width="8.81640625" style="12" customWidth="1"/>
    <col min="8192" max="8193" width="0.81640625" style="12" customWidth="1"/>
    <col min="8194" max="8194" width="3.81640625" style="12" customWidth="1"/>
    <col min="8195" max="8195" width="12.1796875" style="12" bestFit="1" customWidth="1"/>
    <col min="8196" max="8196" width="12" style="12" bestFit="1" customWidth="1"/>
    <col min="8197" max="8197" width="30.26953125" style="12" customWidth="1"/>
    <col min="8198" max="8198" width="5.453125" style="12" customWidth="1"/>
    <col min="8199" max="8199" width="2.453125" style="12" customWidth="1"/>
    <col min="8200" max="8200" width="8.7265625" style="12"/>
    <col min="8201" max="8201" width="12" style="12" customWidth="1"/>
    <col min="8202" max="8202" width="12" style="12" bestFit="1" customWidth="1"/>
    <col min="8203" max="8203" width="7.54296875" style="12" bestFit="1" customWidth="1"/>
    <col min="8204" max="8204" width="1.7265625" style="12" customWidth="1"/>
    <col min="8205" max="8205" width="2.453125" style="12" customWidth="1"/>
    <col min="8206" max="8206" width="8.7265625" style="12"/>
    <col min="8207" max="8208" width="12" style="12" customWidth="1"/>
    <col min="8209" max="8209" width="7.54296875" style="12" bestFit="1" customWidth="1"/>
    <col min="8210" max="8210" width="2.1796875" style="12" customWidth="1"/>
    <col min="8211" max="8213" width="9.26953125" style="12" bestFit="1" customWidth="1"/>
    <col min="8214" max="8221" width="9.1796875" style="12" customWidth="1"/>
    <col min="8222" max="8222" width="10.1796875" style="12" customWidth="1"/>
    <col min="8223" max="8223" width="5.81640625" style="12" customWidth="1"/>
    <col min="8224" max="8224" width="8.26953125" style="12" customWidth="1"/>
    <col min="8225" max="8225" width="9.7265625" style="12" customWidth="1"/>
    <col min="8226" max="8226" width="8.1796875" style="12" customWidth="1"/>
    <col min="8227" max="8227" width="6.81640625" style="12" customWidth="1"/>
    <col min="8228" max="8228" width="7.7265625" style="12" customWidth="1"/>
    <col min="8229" max="8235" width="9.1796875" style="12" customWidth="1"/>
    <col min="8236" max="8445" width="8.7265625" style="12"/>
    <col min="8446" max="8447" width="8.81640625" style="12" customWidth="1"/>
    <col min="8448" max="8449" width="0.81640625" style="12" customWidth="1"/>
    <col min="8450" max="8450" width="3.81640625" style="12" customWidth="1"/>
    <col min="8451" max="8451" width="12.1796875" style="12" bestFit="1" customWidth="1"/>
    <col min="8452" max="8452" width="12" style="12" bestFit="1" customWidth="1"/>
    <col min="8453" max="8453" width="30.26953125" style="12" customWidth="1"/>
    <col min="8454" max="8454" width="5.453125" style="12" customWidth="1"/>
    <col min="8455" max="8455" width="2.453125" style="12" customWidth="1"/>
    <col min="8456" max="8456" width="8.7265625" style="12"/>
    <col min="8457" max="8457" width="12" style="12" customWidth="1"/>
    <col min="8458" max="8458" width="12" style="12" bestFit="1" customWidth="1"/>
    <col min="8459" max="8459" width="7.54296875" style="12" bestFit="1" customWidth="1"/>
    <col min="8460" max="8460" width="1.7265625" style="12" customWidth="1"/>
    <col min="8461" max="8461" width="2.453125" style="12" customWidth="1"/>
    <col min="8462" max="8462" width="8.7265625" style="12"/>
    <col min="8463" max="8464" width="12" style="12" customWidth="1"/>
    <col min="8465" max="8465" width="7.54296875" style="12" bestFit="1" customWidth="1"/>
    <col min="8466" max="8466" width="2.1796875" style="12" customWidth="1"/>
    <col min="8467" max="8469" width="9.26953125" style="12" bestFit="1" customWidth="1"/>
    <col min="8470" max="8477" width="9.1796875" style="12" customWidth="1"/>
    <col min="8478" max="8478" width="10.1796875" style="12" customWidth="1"/>
    <col min="8479" max="8479" width="5.81640625" style="12" customWidth="1"/>
    <col min="8480" max="8480" width="8.26953125" style="12" customWidth="1"/>
    <col min="8481" max="8481" width="9.7265625" style="12" customWidth="1"/>
    <col min="8482" max="8482" width="8.1796875" style="12" customWidth="1"/>
    <col min="8483" max="8483" width="6.81640625" style="12" customWidth="1"/>
    <col min="8484" max="8484" width="7.7265625" style="12" customWidth="1"/>
    <col min="8485" max="8491" width="9.1796875" style="12" customWidth="1"/>
    <col min="8492" max="8701" width="8.7265625" style="12"/>
    <col min="8702" max="8703" width="8.81640625" style="12" customWidth="1"/>
    <col min="8704" max="8705" width="0.81640625" style="12" customWidth="1"/>
    <col min="8706" max="8706" width="3.81640625" style="12" customWidth="1"/>
    <col min="8707" max="8707" width="12.1796875" style="12" bestFit="1" customWidth="1"/>
    <col min="8708" max="8708" width="12" style="12" bestFit="1" customWidth="1"/>
    <col min="8709" max="8709" width="30.26953125" style="12" customWidth="1"/>
    <col min="8710" max="8710" width="5.453125" style="12" customWidth="1"/>
    <col min="8711" max="8711" width="2.453125" style="12" customWidth="1"/>
    <col min="8712" max="8712" width="8.7265625" style="12"/>
    <col min="8713" max="8713" width="12" style="12" customWidth="1"/>
    <col min="8714" max="8714" width="12" style="12" bestFit="1" customWidth="1"/>
    <col min="8715" max="8715" width="7.54296875" style="12" bestFit="1" customWidth="1"/>
    <col min="8716" max="8716" width="1.7265625" style="12" customWidth="1"/>
    <col min="8717" max="8717" width="2.453125" style="12" customWidth="1"/>
    <col min="8718" max="8718" width="8.7265625" style="12"/>
    <col min="8719" max="8720" width="12" style="12" customWidth="1"/>
    <col min="8721" max="8721" width="7.54296875" style="12" bestFit="1" customWidth="1"/>
    <col min="8722" max="8722" width="2.1796875" style="12" customWidth="1"/>
    <col min="8723" max="8725" width="9.26953125" style="12" bestFit="1" customWidth="1"/>
    <col min="8726" max="8733" width="9.1796875" style="12" customWidth="1"/>
    <col min="8734" max="8734" width="10.1796875" style="12" customWidth="1"/>
    <col min="8735" max="8735" width="5.81640625" style="12" customWidth="1"/>
    <col min="8736" max="8736" width="8.26953125" style="12" customWidth="1"/>
    <col min="8737" max="8737" width="9.7265625" style="12" customWidth="1"/>
    <col min="8738" max="8738" width="8.1796875" style="12" customWidth="1"/>
    <col min="8739" max="8739" width="6.81640625" style="12" customWidth="1"/>
    <col min="8740" max="8740" width="7.7265625" style="12" customWidth="1"/>
    <col min="8741" max="8747" width="9.1796875" style="12" customWidth="1"/>
    <col min="8748" max="8957" width="8.7265625" style="12"/>
    <col min="8958" max="8959" width="8.81640625" style="12" customWidth="1"/>
    <col min="8960" max="8961" width="0.81640625" style="12" customWidth="1"/>
    <col min="8962" max="8962" width="3.81640625" style="12" customWidth="1"/>
    <col min="8963" max="8963" width="12.1796875" style="12" bestFit="1" customWidth="1"/>
    <col min="8964" max="8964" width="12" style="12" bestFit="1" customWidth="1"/>
    <col min="8965" max="8965" width="30.26953125" style="12" customWidth="1"/>
    <col min="8966" max="8966" width="5.453125" style="12" customWidth="1"/>
    <col min="8967" max="8967" width="2.453125" style="12" customWidth="1"/>
    <col min="8968" max="8968" width="8.7265625" style="12"/>
    <col min="8969" max="8969" width="12" style="12" customWidth="1"/>
    <col min="8970" max="8970" width="12" style="12" bestFit="1" customWidth="1"/>
    <col min="8971" max="8971" width="7.54296875" style="12" bestFit="1" customWidth="1"/>
    <col min="8972" max="8972" width="1.7265625" style="12" customWidth="1"/>
    <col min="8973" max="8973" width="2.453125" style="12" customWidth="1"/>
    <col min="8974" max="8974" width="8.7265625" style="12"/>
    <col min="8975" max="8976" width="12" style="12" customWidth="1"/>
    <col min="8977" max="8977" width="7.54296875" style="12" bestFit="1" customWidth="1"/>
    <col min="8978" max="8978" width="2.1796875" style="12" customWidth="1"/>
    <col min="8979" max="8981" width="9.26953125" style="12" bestFit="1" customWidth="1"/>
    <col min="8982" max="8989" width="9.1796875" style="12" customWidth="1"/>
    <col min="8990" max="8990" width="10.1796875" style="12" customWidth="1"/>
    <col min="8991" max="8991" width="5.81640625" style="12" customWidth="1"/>
    <col min="8992" max="8992" width="8.26953125" style="12" customWidth="1"/>
    <col min="8993" max="8993" width="9.7265625" style="12" customWidth="1"/>
    <col min="8994" max="8994" width="8.1796875" style="12" customWidth="1"/>
    <col min="8995" max="8995" width="6.81640625" style="12" customWidth="1"/>
    <col min="8996" max="8996" width="7.7265625" style="12" customWidth="1"/>
    <col min="8997" max="9003" width="9.1796875" style="12" customWidth="1"/>
    <col min="9004" max="9213" width="8.7265625" style="12"/>
    <col min="9214" max="9215" width="8.81640625" style="12" customWidth="1"/>
    <col min="9216" max="9217" width="0.81640625" style="12" customWidth="1"/>
    <col min="9218" max="9218" width="3.81640625" style="12" customWidth="1"/>
    <col min="9219" max="9219" width="12.1796875" style="12" bestFit="1" customWidth="1"/>
    <col min="9220" max="9220" width="12" style="12" bestFit="1" customWidth="1"/>
    <col min="9221" max="9221" width="30.26953125" style="12" customWidth="1"/>
    <col min="9222" max="9222" width="5.453125" style="12" customWidth="1"/>
    <col min="9223" max="9223" width="2.453125" style="12" customWidth="1"/>
    <col min="9224" max="9224" width="8.7265625" style="12"/>
    <col min="9225" max="9225" width="12" style="12" customWidth="1"/>
    <col min="9226" max="9226" width="12" style="12" bestFit="1" customWidth="1"/>
    <col min="9227" max="9227" width="7.54296875" style="12" bestFit="1" customWidth="1"/>
    <col min="9228" max="9228" width="1.7265625" style="12" customWidth="1"/>
    <col min="9229" max="9229" width="2.453125" style="12" customWidth="1"/>
    <col min="9230" max="9230" width="8.7265625" style="12"/>
    <col min="9231" max="9232" width="12" style="12" customWidth="1"/>
    <col min="9233" max="9233" width="7.54296875" style="12" bestFit="1" customWidth="1"/>
    <col min="9234" max="9234" width="2.1796875" style="12" customWidth="1"/>
    <col min="9235" max="9237" width="9.26953125" style="12" bestFit="1" customWidth="1"/>
    <col min="9238" max="9245" width="9.1796875" style="12" customWidth="1"/>
    <col min="9246" max="9246" width="10.1796875" style="12" customWidth="1"/>
    <col min="9247" max="9247" width="5.81640625" style="12" customWidth="1"/>
    <col min="9248" max="9248" width="8.26953125" style="12" customWidth="1"/>
    <col min="9249" max="9249" width="9.7265625" style="12" customWidth="1"/>
    <col min="9250" max="9250" width="8.1796875" style="12" customWidth="1"/>
    <col min="9251" max="9251" width="6.81640625" style="12" customWidth="1"/>
    <col min="9252" max="9252" width="7.7265625" style="12" customWidth="1"/>
    <col min="9253" max="9259" width="9.1796875" style="12" customWidth="1"/>
    <col min="9260" max="9469" width="8.7265625" style="12"/>
    <col min="9470" max="9471" width="8.81640625" style="12" customWidth="1"/>
    <col min="9472" max="9473" width="0.81640625" style="12" customWidth="1"/>
    <col min="9474" max="9474" width="3.81640625" style="12" customWidth="1"/>
    <col min="9475" max="9475" width="12.1796875" style="12" bestFit="1" customWidth="1"/>
    <col min="9476" max="9476" width="12" style="12" bestFit="1" customWidth="1"/>
    <col min="9477" max="9477" width="30.26953125" style="12" customWidth="1"/>
    <col min="9478" max="9478" width="5.453125" style="12" customWidth="1"/>
    <col min="9479" max="9479" width="2.453125" style="12" customWidth="1"/>
    <col min="9480" max="9480" width="8.7265625" style="12"/>
    <col min="9481" max="9481" width="12" style="12" customWidth="1"/>
    <col min="9482" max="9482" width="12" style="12" bestFit="1" customWidth="1"/>
    <col min="9483" max="9483" width="7.54296875" style="12" bestFit="1" customWidth="1"/>
    <col min="9484" max="9484" width="1.7265625" style="12" customWidth="1"/>
    <col min="9485" max="9485" width="2.453125" style="12" customWidth="1"/>
    <col min="9486" max="9486" width="8.7265625" style="12"/>
    <col min="9487" max="9488" width="12" style="12" customWidth="1"/>
    <col min="9489" max="9489" width="7.54296875" style="12" bestFit="1" customWidth="1"/>
    <col min="9490" max="9490" width="2.1796875" style="12" customWidth="1"/>
    <col min="9491" max="9493" width="9.26953125" style="12" bestFit="1" customWidth="1"/>
    <col min="9494" max="9501" width="9.1796875" style="12" customWidth="1"/>
    <col min="9502" max="9502" width="10.1796875" style="12" customWidth="1"/>
    <col min="9503" max="9503" width="5.81640625" style="12" customWidth="1"/>
    <col min="9504" max="9504" width="8.26953125" style="12" customWidth="1"/>
    <col min="9505" max="9505" width="9.7265625" style="12" customWidth="1"/>
    <col min="9506" max="9506" width="8.1796875" style="12" customWidth="1"/>
    <col min="9507" max="9507" width="6.81640625" style="12" customWidth="1"/>
    <col min="9508" max="9508" width="7.7265625" style="12" customWidth="1"/>
    <col min="9509" max="9515" width="9.1796875" style="12" customWidth="1"/>
    <col min="9516" max="9725" width="8.7265625" style="12"/>
    <col min="9726" max="9727" width="8.81640625" style="12" customWidth="1"/>
    <col min="9728" max="9729" width="0.81640625" style="12" customWidth="1"/>
    <col min="9730" max="9730" width="3.81640625" style="12" customWidth="1"/>
    <col min="9731" max="9731" width="12.1796875" style="12" bestFit="1" customWidth="1"/>
    <col min="9732" max="9732" width="12" style="12" bestFit="1" customWidth="1"/>
    <col min="9733" max="9733" width="30.26953125" style="12" customWidth="1"/>
    <col min="9734" max="9734" width="5.453125" style="12" customWidth="1"/>
    <col min="9735" max="9735" width="2.453125" style="12" customWidth="1"/>
    <col min="9736" max="9736" width="8.7265625" style="12"/>
    <col min="9737" max="9737" width="12" style="12" customWidth="1"/>
    <col min="9738" max="9738" width="12" style="12" bestFit="1" customWidth="1"/>
    <col min="9739" max="9739" width="7.54296875" style="12" bestFit="1" customWidth="1"/>
    <col min="9740" max="9740" width="1.7265625" style="12" customWidth="1"/>
    <col min="9741" max="9741" width="2.453125" style="12" customWidth="1"/>
    <col min="9742" max="9742" width="8.7265625" style="12"/>
    <col min="9743" max="9744" width="12" style="12" customWidth="1"/>
    <col min="9745" max="9745" width="7.54296875" style="12" bestFit="1" customWidth="1"/>
    <col min="9746" max="9746" width="2.1796875" style="12" customWidth="1"/>
    <col min="9747" max="9749" width="9.26953125" style="12" bestFit="1" customWidth="1"/>
    <col min="9750" max="9757" width="9.1796875" style="12" customWidth="1"/>
    <col min="9758" max="9758" width="10.1796875" style="12" customWidth="1"/>
    <col min="9759" max="9759" width="5.81640625" style="12" customWidth="1"/>
    <col min="9760" max="9760" width="8.26953125" style="12" customWidth="1"/>
    <col min="9761" max="9761" width="9.7265625" style="12" customWidth="1"/>
    <col min="9762" max="9762" width="8.1796875" style="12" customWidth="1"/>
    <col min="9763" max="9763" width="6.81640625" style="12" customWidth="1"/>
    <col min="9764" max="9764" width="7.7265625" style="12" customWidth="1"/>
    <col min="9765" max="9771" width="9.1796875" style="12" customWidth="1"/>
    <col min="9772" max="9981" width="8.7265625" style="12"/>
    <col min="9982" max="9983" width="8.81640625" style="12" customWidth="1"/>
    <col min="9984" max="9985" width="0.81640625" style="12" customWidth="1"/>
    <col min="9986" max="9986" width="3.81640625" style="12" customWidth="1"/>
    <col min="9987" max="9987" width="12.1796875" style="12" bestFit="1" customWidth="1"/>
    <col min="9988" max="9988" width="12" style="12" bestFit="1" customWidth="1"/>
    <col min="9989" max="9989" width="30.26953125" style="12" customWidth="1"/>
    <col min="9990" max="9990" width="5.453125" style="12" customWidth="1"/>
    <col min="9991" max="9991" width="2.453125" style="12" customWidth="1"/>
    <col min="9992" max="9992" width="8.7265625" style="12"/>
    <col min="9993" max="9993" width="12" style="12" customWidth="1"/>
    <col min="9994" max="9994" width="12" style="12" bestFit="1" customWidth="1"/>
    <col min="9995" max="9995" width="7.54296875" style="12" bestFit="1" customWidth="1"/>
    <col min="9996" max="9996" width="1.7265625" style="12" customWidth="1"/>
    <col min="9997" max="9997" width="2.453125" style="12" customWidth="1"/>
    <col min="9998" max="9998" width="8.7265625" style="12"/>
    <col min="9999" max="10000" width="12" style="12" customWidth="1"/>
    <col min="10001" max="10001" width="7.54296875" style="12" bestFit="1" customWidth="1"/>
    <col min="10002" max="10002" width="2.1796875" style="12" customWidth="1"/>
    <col min="10003" max="10005" width="9.26953125" style="12" bestFit="1" customWidth="1"/>
    <col min="10006" max="10013" width="9.1796875" style="12" customWidth="1"/>
    <col min="10014" max="10014" width="10.1796875" style="12" customWidth="1"/>
    <col min="10015" max="10015" width="5.81640625" style="12" customWidth="1"/>
    <col min="10016" max="10016" width="8.26953125" style="12" customWidth="1"/>
    <col min="10017" max="10017" width="9.7265625" style="12" customWidth="1"/>
    <col min="10018" max="10018" width="8.1796875" style="12" customWidth="1"/>
    <col min="10019" max="10019" width="6.81640625" style="12" customWidth="1"/>
    <col min="10020" max="10020" width="7.7265625" style="12" customWidth="1"/>
    <col min="10021" max="10027" width="9.1796875" style="12" customWidth="1"/>
    <col min="10028" max="10237" width="8.7265625" style="12"/>
    <col min="10238" max="10239" width="8.81640625" style="12" customWidth="1"/>
    <col min="10240" max="10241" width="0.81640625" style="12" customWidth="1"/>
    <col min="10242" max="10242" width="3.81640625" style="12" customWidth="1"/>
    <col min="10243" max="10243" width="12.1796875" style="12" bestFit="1" customWidth="1"/>
    <col min="10244" max="10244" width="12" style="12" bestFit="1" customWidth="1"/>
    <col min="10245" max="10245" width="30.26953125" style="12" customWidth="1"/>
    <col min="10246" max="10246" width="5.453125" style="12" customWidth="1"/>
    <col min="10247" max="10247" width="2.453125" style="12" customWidth="1"/>
    <col min="10248" max="10248" width="8.7265625" style="12"/>
    <col min="10249" max="10249" width="12" style="12" customWidth="1"/>
    <col min="10250" max="10250" width="12" style="12" bestFit="1" customWidth="1"/>
    <col min="10251" max="10251" width="7.54296875" style="12" bestFit="1" customWidth="1"/>
    <col min="10252" max="10252" width="1.7265625" style="12" customWidth="1"/>
    <col min="10253" max="10253" width="2.453125" style="12" customWidth="1"/>
    <col min="10254" max="10254" width="8.7265625" style="12"/>
    <col min="10255" max="10256" width="12" style="12" customWidth="1"/>
    <col min="10257" max="10257" width="7.54296875" style="12" bestFit="1" customWidth="1"/>
    <col min="10258" max="10258" width="2.1796875" style="12" customWidth="1"/>
    <col min="10259" max="10261" width="9.26953125" style="12" bestFit="1" customWidth="1"/>
    <col min="10262" max="10269" width="9.1796875" style="12" customWidth="1"/>
    <col min="10270" max="10270" width="10.1796875" style="12" customWidth="1"/>
    <col min="10271" max="10271" width="5.81640625" style="12" customWidth="1"/>
    <col min="10272" max="10272" width="8.26953125" style="12" customWidth="1"/>
    <col min="10273" max="10273" width="9.7265625" style="12" customWidth="1"/>
    <col min="10274" max="10274" width="8.1796875" style="12" customWidth="1"/>
    <col min="10275" max="10275" width="6.81640625" style="12" customWidth="1"/>
    <col min="10276" max="10276" width="7.7265625" style="12" customWidth="1"/>
    <col min="10277" max="10283" width="9.1796875" style="12" customWidth="1"/>
    <col min="10284" max="10493" width="8.7265625" style="12"/>
    <col min="10494" max="10495" width="8.81640625" style="12" customWidth="1"/>
    <col min="10496" max="10497" width="0.81640625" style="12" customWidth="1"/>
    <col min="10498" max="10498" width="3.81640625" style="12" customWidth="1"/>
    <col min="10499" max="10499" width="12.1796875" style="12" bestFit="1" customWidth="1"/>
    <col min="10500" max="10500" width="12" style="12" bestFit="1" customWidth="1"/>
    <col min="10501" max="10501" width="30.26953125" style="12" customWidth="1"/>
    <col min="10502" max="10502" width="5.453125" style="12" customWidth="1"/>
    <col min="10503" max="10503" width="2.453125" style="12" customWidth="1"/>
    <col min="10504" max="10504" width="8.7265625" style="12"/>
    <col min="10505" max="10505" width="12" style="12" customWidth="1"/>
    <col min="10506" max="10506" width="12" style="12" bestFit="1" customWidth="1"/>
    <col min="10507" max="10507" width="7.54296875" style="12" bestFit="1" customWidth="1"/>
    <col min="10508" max="10508" width="1.7265625" style="12" customWidth="1"/>
    <col min="10509" max="10509" width="2.453125" style="12" customWidth="1"/>
    <col min="10510" max="10510" width="8.7265625" style="12"/>
    <col min="10511" max="10512" width="12" style="12" customWidth="1"/>
    <col min="10513" max="10513" width="7.54296875" style="12" bestFit="1" customWidth="1"/>
    <col min="10514" max="10514" width="2.1796875" style="12" customWidth="1"/>
    <col min="10515" max="10517" width="9.26953125" style="12" bestFit="1" customWidth="1"/>
    <col min="10518" max="10525" width="9.1796875" style="12" customWidth="1"/>
    <col min="10526" max="10526" width="10.1796875" style="12" customWidth="1"/>
    <col min="10527" max="10527" width="5.81640625" style="12" customWidth="1"/>
    <col min="10528" max="10528" width="8.26953125" style="12" customWidth="1"/>
    <col min="10529" max="10529" width="9.7265625" style="12" customWidth="1"/>
    <col min="10530" max="10530" width="8.1796875" style="12" customWidth="1"/>
    <col min="10531" max="10531" width="6.81640625" style="12" customWidth="1"/>
    <col min="10532" max="10532" width="7.7265625" style="12" customWidth="1"/>
    <col min="10533" max="10539" width="9.1796875" style="12" customWidth="1"/>
    <col min="10540" max="10749" width="8.7265625" style="12"/>
    <col min="10750" max="10751" width="8.81640625" style="12" customWidth="1"/>
    <col min="10752" max="10753" width="0.81640625" style="12" customWidth="1"/>
    <col min="10754" max="10754" width="3.81640625" style="12" customWidth="1"/>
    <col min="10755" max="10755" width="12.1796875" style="12" bestFit="1" customWidth="1"/>
    <col min="10756" max="10756" width="12" style="12" bestFit="1" customWidth="1"/>
    <col min="10757" max="10757" width="30.26953125" style="12" customWidth="1"/>
    <col min="10758" max="10758" width="5.453125" style="12" customWidth="1"/>
    <col min="10759" max="10759" width="2.453125" style="12" customWidth="1"/>
    <col min="10760" max="10760" width="8.7265625" style="12"/>
    <col min="10761" max="10761" width="12" style="12" customWidth="1"/>
    <col min="10762" max="10762" width="12" style="12" bestFit="1" customWidth="1"/>
    <col min="10763" max="10763" width="7.54296875" style="12" bestFit="1" customWidth="1"/>
    <col min="10764" max="10764" width="1.7265625" style="12" customWidth="1"/>
    <col min="10765" max="10765" width="2.453125" style="12" customWidth="1"/>
    <col min="10766" max="10766" width="8.7265625" style="12"/>
    <col min="10767" max="10768" width="12" style="12" customWidth="1"/>
    <col min="10769" max="10769" width="7.54296875" style="12" bestFit="1" customWidth="1"/>
    <col min="10770" max="10770" width="2.1796875" style="12" customWidth="1"/>
    <col min="10771" max="10773" width="9.26953125" style="12" bestFit="1" customWidth="1"/>
    <col min="10774" max="10781" width="9.1796875" style="12" customWidth="1"/>
    <col min="10782" max="10782" width="10.1796875" style="12" customWidth="1"/>
    <col min="10783" max="10783" width="5.81640625" style="12" customWidth="1"/>
    <col min="10784" max="10784" width="8.26953125" style="12" customWidth="1"/>
    <col min="10785" max="10785" width="9.7265625" style="12" customWidth="1"/>
    <col min="10786" max="10786" width="8.1796875" style="12" customWidth="1"/>
    <col min="10787" max="10787" width="6.81640625" style="12" customWidth="1"/>
    <col min="10788" max="10788" width="7.7265625" style="12" customWidth="1"/>
    <col min="10789" max="10795" width="9.1796875" style="12" customWidth="1"/>
    <col min="10796" max="11005" width="8.7265625" style="12"/>
    <col min="11006" max="11007" width="8.81640625" style="12" customWidth="1"/>
    <col min="11008" max="11009" width="0.81640625" style="12" customWidth="1"/>
    <col min="11010" max="11010" width="3.81640625" style="12" customWidth="1"/>
    <col min="11011" max="11011" width="12.1796875" style="12" bestFit="1" customWidth="1"/>
    <col min="11012" max="11012" width="12" style="12" bestFit="1" customWidth="1"/>
    <col min="11013" max="11013" width="30.26953125" style="12" customWidth="1"/>
    <col min="11014" max="11014" width="5.453125" style="12" customWidth="1"/>
    <col min="11015" max="11015" width="2.453125" style="12" customWidth="1"/>
    <col min="11016" max="11016" width="8.7265625" style="12"/>
    <col min="11017" max="11017" width="12" style="12" customWidth="1"/>
    <col min="11018" max="11018" width="12" style="12" bestFit="1" customWidth="1"/>
    <col min="11019" max="11019" width="7.54296875" style="12" bestFit="1" customWidth="1"/>
    <col min="11020" max="11020" width="1.7265625" style="12" customWidth="1"/>
    <col min="11021" max="11021" width="2.453125" style="12" customWidth="1"/>
    <col min="11022" max="11022" width="8.7265625" style="12"/>
    <col min="11023" max="11024" width="12" style="12" customWidth="1"/>
    <col min="11025" max="11025" width="7.54296875" style="12" bestFit="1" customWidth="1"/>
    <col min="11026" max="11026" width="2.1796875" style="12" customWidth="1"/>
    <col min="11027" max="11029" width="9.26953125" style="12" bestFit="1" customWidth="1"/>
    <col min="11030" max="11037" width="9.1796875" style="12" customWidth="1"/>
    <col min="11038" max="11038" width="10.1796875" style="12" customWidth="1"/>
    <col min="11039" max="11039" width="5.81640625" style="12" customWidth="1"/>
    <col min="11040" max="11040" width="8.26953125" style="12" customWidth="1"/>
    <col min="11041" max="11041" width="9.7265625" style="12" customWidth="1"/>
    <col min="11042" max="11042" width="8.1796875" style="12" customWidth="1"/>
    <col min="11043" max="11043" width="6.81640625" style="12" customWidth="1"/>
    <col min="11044" max="11044" width="7.7265625" style="12" customWidth="1"/>
    <col min="11045" max="11051" width="9.1796875" style="12" customWidth="1"/>
    <col min="11052" max="11261" width="8.7265625" style="12"/>
    <col min="11262" max="11263" width="8.81640625" style="12" customWidth="1"/>
    <col min="11264" max="11265" width="0.81640625" style="12" customWidth="1"/>
    <col min="11266" max="11266" width="3.81640625" style="12" customWidth="1"/>
    <col min="11267" max="11267" width="12.1796875" style="12" bestFit="1" customWidth="1"/>
    <col min="11268" max="11268" width="12" style="12" bestFit="1" customWidth="1"/>
    <col min="11269" max="11269" width="30.26953125" style="12" customWidth="1"/>
    <col min="11270" max="11270" width="5.453125" style="12" customWidth="1"/>
    <col min="11271" max="11271" width="2.453125" style="12" customWidth="1"/>
    <col min="11272" max="11272" width="8.7265625" style="12"/>
    <col min="11273" max="11273" width="12" style="12" customWidth="1"/>
    <col min="11274" max="11274" width="12" style="12" bestFit="1" customWidth="1"/>
    <col min="11275" max="11275" width="7.54296875" style="12" bestFit="1" customWidth="1"/>
    <col min="11276" max="11276" width="1.7265625" style="12" customWidth="1"/>
    <col min="11277" max="11277" width="2.453125" style="12" customWidth="1"/>
    <col min="11278" max="11278" width="8.7265625" style="12"/>
    <col min="11279" max="11280" width="12" style="12" customWidth="1"/>
    <col min="11281" max="11281" width="7.54296875" style="12" bestFit="1" customWidth="1"/>
    <col min="11282" max="11282" width="2.1796875" style="12" customWidth="1"/>
    <col min="11283" max="11285" width="9.26953125" style="12" bestFit="1" customWidth="1"/>
    <col min="11286" max="11293" width="9.1796875" style="12" customWidth="1"/>
    <col min="11294" max="11294" width="10.1796875" style="12" customWidth="1"/>
    <col min="11295" max="11295" width="5.81640625" style="12" customWidth="1"/>
    <col min="11296" max="11296" width="8.26953125" style="12" customWidth="1"/>
    <col min="11297" max="11297" width="9.7265625" style="12" customWidth="1"/>
    <col min="11298" max="11298" width="8.1796875" style="12" customWidth="1"/>
    <col min="11299" max="11299" width="6.81640625" style="12" customWidth="1"/>
    <col min="11300" max="11300" width="7.7265625" style="12" customWidth="1"/>
    <col min="11301" max="11307" width="9.1796875" style="12" customWidth="1"/>
    <col min="11308" max="11517" width="8.7265625" style="12"/>
    <col min="11518" max="11519" width="8.81640625" style="12" customWidth="1"/>
    <col min="11520" max="11521" width="0.81640625" style="12" customWidth="1"/>
    <col min="11522" max="11522" width="3.81640625" style="12" customWidth="1"/>
    <col min="11523" max="11523" width="12.1796875" style="12" bestFit="1" customWidth="1"/>
    <col min="11524" max="11524" width="12" style="12" bestFit="1" customWidth="1"/>
    <col min="11525" max="11525" width="30.26953125" style="12" customWidth="1"/>
    <col min="11526" max="11526" width="5.453125" style="12" customWidth="1"/>
    <col min="11527" max="11527" width="2.453125" style="12" customWidth="1"/>
    <col min="11528" max="11528" width="8.7265625" style="12"/>
    <col min="11529" max="11529" width="12" style="12" customWidth="1"/>
    <col min="11530" max="11530" width="12" style="12" bestFit="1" customWidth="1"/>
    <col min="11531" max="11531" width="7.54296875" style="12" bestFit="1" customWidth="1"/>
    <col min="11532" max="11532" width="1.7265625" style="12" customWidth="1"/>
    <col min="11533" max="11533" width="2.453125" style="12" customWidth="1"/>
    <col min="11534" max="11534" width="8.7265625" style="12"/>
    <col min="11535" max="11536" width="12" style="12" customWidth="1"/>
    <col min="11537" max="11537" width="7.54296875" style="12" bestFit="1" customWidth="1"/>
    <col min="11538" max="11538" width="2.1796875" style="12" customWidth="1"/>
    <col min="11539" max="11541" width="9.26953125" style="12" bestFit="1" customWidth="1"/>
    <col min="11542" max="11549" width="9.1796875" style="12" customWidth="1"/>
    <col min="11550" max="11550" width="10.1796875" style="12" customWidth="1"/>
    <col min="11551" max="11551" width="5.81640625" style="12" customWidth="1"/>
    <col min="11552" max="11552" width="8.26953125" style="12" customWidth="1"/>
    <col min="11553" max="11553" width="9.7265625" style="12" customWidth="1"/>
    <col min="11554" max="11554" width="8.1796875" style="12" customWidth="1"/>
    <col min="11555" max="11555" width="6.81640625" style="12" customWidth="1"/>
    <col min="11556" max="11556" width="7.7265625" style="12" customWidth="1"/>
    <col min="11557" max="11563" width="9.1796875" style="12" customWidth="1"/>
    <col min="11564" max="11773" width="8.7265625" style="12"/>
    <col min="11774" max="11775" width="8.81640625" style="12" customWidth="1"/>
    <col min="11776" max="11777" width="0.81640625" style="12" customWidth="1"/>
    <col min="11778" max="11778" width="3.81640625" style="12" customWidth="1"/>
    <col min="11779" max="11779" width="12.1796875" style="12" bestFit="1" customWidth="1"/>
    <col min="11780" max="11780" width="12" style="12" bestFit="1" customWidth="1"/>
    <col min="11781" max="11781" width="30.26953125" style="12" customWidth="1"/>
    <col min="11782" max="11782" width="5.453125" style="12" customWidth="1"/>
    <col min="11783" max="11783" width="2.453125" style="12" customWidth="1"/>
    <col min="11784" max="11784" width="8.7265625" style="12"/>
    <col min="11785" max="11785" width="12" style="12" customWidth="1"/>
    <col min="11786" max="11786" width="12" style="12" bestFit="1" customWidth="1"/>
    <col min="11787" max="11787" width="7.54296875" style="12" bestFit="1" customWidth="1"/>
    <col min="11788" max="11788" width="1.7265625" style="12" customWidth="1"/>
    <col min="11789" max="11789" width="2.453125" style="12" customWidth="1"/>
    <col min="11790" max="11790" width="8.7265625" style="12"/>
    <col min="11791" max="11792" width="12" style="12" customWidth="1"/>
    <col min="11793" max="11793" width="7.54296875" style="12" bestFit="1" customWidth="1"/>
    <col min="11794" max="11794" width="2.1796875" style="12" customWidth="1"/>
    <col min="11795" max="11797" width="9.26953125" style="12" bestFit="1" customWidth="1"/>
    <col min="11798" max="11805" width="9.1796875" style="12" customWidth="1"/>
    <col min="11806" max="11806" width="10.1796875" style="12" customWidth="1"/>
    <col min="11807" max="11807" width="5.81640625" style="12" customWidth="1"/>
    <col min="11808" max="11808" width="8.26953125" style="12" customWidth="1"/>
    <col min="11809" max="11809" width="9.7265625" style="12" customWidth="1"/>
    <col min="11810" max="11810" width="8.1796875" style="12" customWidth="1"/>
    <col min="11811" max="11811" width="6.81640625" style="12" customWidth="1"/>
    <col min="11812" max="11812" width="7.7265625" style="12" customWidth="1"/>
    <col min="11813" max="11819" width="9.1796875" style="12" customWidth="1"/>
    <col min="11820" max="12029" width="8.7265625" style="12"/>
    <col min="12030" max="12031" width="8.81640625" style="12" customWidth="1"/>
    <col min="12032" max="12033" width="0.81640625" style="12" customWidth="1"/>
    <col min="12034" max="12034" width="3.81640625" style="12" customWidth="1"/>
    <col min="12035" max="12035" width="12.1796875" style="12" bestFit="1" customWidth="1"/>
    <col min="12036" max="12036" width="12" style="12" bestFit="1" customWidth="1"/>
    <col min="12037" max="12037" width="30.26953125" style="12" customWidth="1"/>
    <col min="12038" max="12038" width="5.453125" style="12" customWidth="1"/>
    <col min="12039" max="12039" width="2.453125" style="12" customWidth="1"/>
    <col min="12040" max="12040" width="8.7265625" style="12"/>
    <col min="12041" max="12041" width="12" style="12" customWidth="1"/>
    <col min="12042" max="12042" width="12" style="12" bestFit="1" customWidth="1"/>
    <col min="12043" max="12043" width="7.54296875" style="12" bestFit="1" customWidth="1"/>
    <col min="12044" max="12044" width="1.7265625" style="12" customWidth="1"/>
    <col min="12045" max="12045" width="2.453125" style="12" customWidth="1"/>
    <col min="12046" max="12046" width="8.7265625" style="12"/>
    <col min="12047" max="12048" width="12" style="12" customWidth="1"/>
    <col min="12049" max="12049" width="7.54296875" style="12" bestFit="1" customWidth="1"/>
    <col min="12050" max="12050" width="2.1796875" style="12" customWidth="1"/>
    <col min="12051" max="12053" width="9.26953125" style="12" bestFit="1" customWidth="1"/>
    <col min="12054" max="12061" width="9.1796875" style="12" customWidth="1"/>
    <col min="12062" max="12062" width="10.1796875" style="12" customWidth="1"/>
    <col min="12063" max="12063" width="5.81640625" style="12" customWidth="1"/>
    <col min="12064" max="12064" width="8.26953125" style="12" customWidth="1"/>
    <col min="12065" max="12065" width="9.7265625" style="12" customWidth="1"/>
    <col min="12066" max="12066" width="8.1796875" style="12" customWidth="1"/>
    <col min="12067" max="12067" width="6.81640625" style="12" customWidth="1"/>
    <col min="12068" max="12068" width="7.7265625" style="12" customWidth="1"/>
    <col min="12069" max="12075" width="9.1796875" style="12" customWidth="1"/>
    <col min="12076" max="12285" width="8.7265625" style="12"/>
    <col min="12286" max="12287" width="8.81640625" style="12" customWidth="1"/>
    <col min="12288" max="12289" width="0.81640625" style="12" customWidth="1"/>
    <col min="12290" max="12290" width="3.81640625" style="12" customWidth="1"/>
    <col min="12291" max="12291" width="12.1796875" style="12" bestFit="1" customWidth="1"/>
    <col min="12292" max="12292" width="12" style="12" bestFit="1" customWidth="1"/>
    <col min="12293" max="12293" width="30.26953125" style="12" customWidth="1"/>
    <col min="12294" max="12294" width="5.453125" style="12" customWidth="1"/>
    <col min="12295" max="12295" width="2.453125" style="12" customWidth="1"/>
    <col min="12296" max="12296" width="8.7265625" style="12"/>
    <col min="12297" max="12297" width="12" style="12" customWidth="1"/>
    <col min="12298" max="12298" width="12" style="12" bestFit="1" customWidth="1"/>
    <col min="12299" max="12299" width="7.54296875" style="12" bestFit="1" customWidth="1"/>
    <col min="12300" max="12300" width="1.7265625" style="12" customWidth="1"/>
    <col min="12301" max="12301" width="2.453125" style="12" customWidth="1"/>
    <col min="12302" max="12302" width="8.7265625" style="12"/>
    <col min="12303" max="12304" width="12" style="12" customWidth="1"/>
    <col min="12305" max="12305" width="7.54296875" style="12" bestFit="1" customWidth="1"/>
    <col min="12306" max="12306" width="2.1796875" style="12" customWidth="1"/>
    <col min="12307" max="12309" width="9.26953125" style="12" bestFit="1" customWidth="1"/>
    <col min="12310" max="12317" width="9.1796875" style="12" customWidth="1"/>
    <col min="12318" max="12318" width="10.1796875" style="12" customWidth="1"/>
    <col min="12319" max="12319" width="5.81640625" style="12" customWidth="1"/>
    <col min="12320" max="12320" width="8.26953125" style="12" customWidth="1"/>
    <col min="12321" max="12321" width="9.7265625" style="12" customWidth="1"/>
    <col min="12322" max="12322" width="8.1796875" style="12" customWidth="1"/>
    <col min="12323" max="12323" width="6.81640625" style="12" customWidth="1"/>
    <col min="12324" max="12324" width="7.7265625" style="12" customWidth="1"/>
    <col min="12325" max="12331" width="9.1796875" style="12" customWidth="1"/>
    <col min="12332" max="12541" width="8.7265625" style="12"/>
    <col min="12542" max="12543" width="8.81640625" style="12" customWidth="1"/>
    <col min="12544" max="12545" width="0.81640625" style="12" customWidth="1"/>
    <col min="12546" max="12546" width="3.81640625" style="12" customWidth="1"/>
    <col min="12547" max="12547" width="12.1796875" style="12" bestFit="1" customWidth="1"/>
    <col min="12548" max="12548" width="12" style="12" bestFit="1" customWidth="1"/>
    <col min="12549" max="12549" width="30.26953125" style="12" customWidth="1"/>
    <col min="12550" max="12550" width="5.453125" style="12" customWidth="1"/>
    <col min="12551" max="12551" width="2.453125" style="12" customWidth="1"/>
    <col min="12552" max="12552" width="8.7265625" style="12"/>
    <col min="12553" max="12553" width="12" style="12" customWidth="1"/>
    <col min="12554" max="12554" width="12" style="12" bestFit="1" customWidth="1"/>
    <col min="12555" max="12555" width="7.54296875" style="12" bestFit="1" customWidth="1"/>
    <col min="12556" max="12556" width="1.7265625" style="12" customWidth="1"/>
    <col min="12557" max="12557" width="2.453125" style="12" customWidth="1"/>
    <col min="12558" max="12558" width="8.7265625" style="12"/>
    <col min="12559" max="12560" width="12" style="12" customWidth="1"/>
    <col min="12561" max="12561" width="7.54296875" style="12" bestFit="1" customWidth="1"/>
    <col min="12562" max="12562" width="2.1796875" style="12" customWidth="1"/>
    <col min="12563" max="12565" width="9.26953125" style="12" bestFit="1" customWidth="1"/>
    <col min="12566" max="12573" width="9.1796875" style="12" customWidth="1"/>
    <col min="12574" max="12574" width="10.1796875" style="12" customWidth="1"/>
    <col min="12575" max="12575" width="5.81640625" style="12" customWidth="1"/>
    <col min="12576" max="12576" width="8.26953125" style="12" customWidth="1"/>
    <col min="12577" max="12577" width="9.7265625" style="12" customWidth="1"/>
    <col min="12578" max="12578" width="8.1796875" style="12" customWidth="1"/>
    <col min="12579" max="12579" width="6.81640625" style="12" customWidth="1"/>
    <col min="12580" max="12580" width="7.7265625" style="12" customWidth="1"/>
    <col min="12581" max="12587" width="9.1796875" style="12" customWidth="1"/>
    <col min="12588" max="12797" width="8.7265625" style="12"/>
    <col min="12798" max="12799" width="8.81640625" style="12" customWidth="1"/>
    <col min="12800" max="12801" width="0.81640625" style="12" customWidth="1"/>
    <col min="12802" max="12802" width="3.81640625" style="12" customWidth="1"/>
    <col min="12803" max="12803" width="12.1796875" style="12" bestFit="1" customWidth="1"/>
    <col min="12804" max="12804" width="12" style="12" bestFit="1" customWidth="1"/>
    <col min="12805" max="12805" width="30.26953125" style="12" customWidth="1"/>
    <col min="12806" max="12806" width="5.453125" style="12" customWidth="1"/>
    <col min="12807" max="12807" width="2.453125" style="12" customWidth="1"/>
    <col min="12808" max="12808" width="8.7265625" style="12"/>
    <col min="12809" max="12809" width="12" style="12" customWidth="1"/>
    <col min="12810" max="12810" width="12" style="12" bestFit="1" customWidth="1"/>
    <col min="12811" max="12811" width="7.54296875" style="12" bestFit="1" customWidth="1"/>
    <col min="12812" max="12812" width="1.7265625" style="12" customWidth="1"/>
    <col min="12813" max="12813" width="2.453125" style="12" customWidth="1"/>
    <col min="12814" max="12814" width="8.7265625" style="12"/>
    <col min="12815" max="12816" width="12" style="12" customWidth="1"/>
    <col min="12817" max="12817" width="7.54296875" style="12" bestFit="1" customWidth="1"/>
    <col min="12818" max="12818" width="2.1796875" style="12" customWidth="1"/>
    <col min="12819" max="12821" width="9.26953125" style="12" bestFit="1" customWidth="1"/>
    <col min="12822" max="12829" width="9.1796875" style="12" customWidth="1"/>
    <col min="12830" max="12830" width="10.1796875" style="12" customWidth="1"/>
    <col min="12831" max="12831" width="5.81640625" style="12" customWidth="1"/>
    <col min="12832" max="12832" width="8.26953125" style="12" customWidth="1"/>
    <col min="12833" max="12833" width="9.7265625" style="12" customWidth="1"/>
    <col min="12834" max="12834" width="8.1796875" style="12" customWidth="1"/>
    <col min="12835" max="12835" width="6.81640625" style="12" customWidth="1"/>
    <col min="12836" max="12836" width="7.7265625" style="12" customWidth="1"/>
    <col min="12837" max="12843" width="9.1796875" style="12" customWidth="1"/>
    <col min="12844" max="13053" width="8.7265625" style="12"/>
    <col min="13054" max="13055" width="8.81640625" style="12" customWidth="1"/>
    <col min="13056" max="13057" width="0.81640625" style="12" customWidth="1"/>
    <col min="13058" max="13058" width="3.81640625" style="12" customWidth="1"/>
    <col min="13059" max="13059" width="12.1796875" style="12" bestFit="1" customWidth="1"/>
    <col min="13060" max="13060" width="12" style="12" bestFit="1" customWidth="1"/>
    <col min="13061" max="13061" width="30.26953125" style="12" customWidth="1"/>
    <col min="13062" max="13062" width="5.453125" style="12" customWidth="1"/>
    <col min="13063" max="13063" width="2.453125" style="12" customWidth="1"/>
    <col min="13064" max="13064" width="8.7265625" style="12"/>
    <col min="13065" max="13065" width="12" style="12" customWidth="1"/>
    <col min="13066" max="13066" width="12" style="12" bestFit="1" customWidth="1"/>
    <col min="13067" max="13067" width="7.54296875" style="12" bestFit="1" customWidth="1"/>
    <col min="13068" max="13068" width="1.7265625" style="12" customWidth="1"/>
    <col min="13069" max="13069" width="2.453125" style="12" customWidth="1"/>
    <col min="13070" max="13070" width="8.7265625" style="12"/>
    <col min="13071" max="13072" width="12" style="12" customWidth="1"/>
    <col min="13073" max="13073" width="7.54296875" style="12" bestFit="1" customWidth="1"/>
    <col min="13074" max="13074" width="2.1796875" style="12" customWidth="1"/>
    <col min="13075" max="13077" width="9.26953125" style="12" bestFit="1" customWidth="1"/>
    <col min="13078" max="13085" width="9.1796875" style="12" customWidth="1"/>
    <col min="13086" max="13086" width="10.1796875" style="12" customWidth="1"/>
    <col min="13087" max="13087" width="5.81640625" style="12" customWidth="1"/>
    <col min="13088" max="13088" width="8.26953125" style="12" customWidth="1"/>
    <col min="13089" max="13089" width="9.7265625" style="12" customWidth="1"/>
    <col min="13090" max="13090" width="8.1796875" style="12" customWidth="1"/>
    <col min="13091" max="13091" width="6.81640625" style="12" customWidth="1"/>
    <col min="13092" max="13092" width="7.7265625" style="12" customWidth="1"/>
    <col min="13093" max="13099" width="9.1796875" style="12" customWidth="1"/>
    <col min="13100" max="13309" width="8.7265625" style="12"/>
    <col min="13310" max="13311" width="8.81640625" style="12" customWidth="1"/>
    <col min="13312" max="13313" width="0.81640625" style="12" customWidth="1"/>
    <col min="13314" max="13314" width="3.81640625" style="12" customWidth="1"/>
    <col min="13315" max="13315" width="12.1796875" style="12" bestFit="1" customWidth="1"/>
    <col min="13316" max="13316" width="12" style="12" bestFit="1" customWidth="1"/>
    <col min="13317" max="13317" width="30.26953125" style="12" customWidth="1"/>
    <col min="13318" max="13318" width="5.453125" style="12" customWidth="1"/>
    <col min="13319" max="13319" width="2.453125" style="12" customWidth="1"/>
    <col min="13320" max="13320" width="8.7265625" style="12"/>
    <col min="13321" max="13321" width="12" style="12" customWidth="1"/>
    <col min="13322" max="13322" width="12" style="12" bestFit="1" customWidth="1"/>
    <col min="13323" max="13323" width="7.54296875" style="12" bestFit="1" customWidth="1"/>
    <col min="13324" max="13324" width="1.7265625" style="12" customWidth="1"/>
    <col min="13325" max="13325" width="2.453125" style="12" customWidth="1"/>
    <col min="13326" max="13326" width="8.7265625" style="12"/>
    <col min="13327" max="13328" width="12" style="12" customWidth="1"/>
    <col min="13329" max="13329" width="7.54296875" style="12" bestFit="1" customWidth="1"/>
    <col min="13330" max="13330" width="2.1796875" style="12" customWidth="1"/>
    <col min="13331" max="13333" width="9.26953125" style="12" bestFit="1" customWidth="1"/>
    <col min="13334" max="13341" width="9.1796875" style="12" customWidth="1"/>
    <col min="13342" max="13342" width="10.1796875" style="12" customWidth="1"/>
    <col min="13343" max="13343" width="5.81640625" style="12" customWidth="1"/>
    <col min="13344" max="13344" width="8.26953125" style="12" customWidth="1"/>
    <col min="13345" max="13345" width="9.7265625" style="12" customWidth="1"/>
    <col min="13346" max="13346" width="8.1796875" style="12" customWidth="1"/>
    <col min="13347" max="13347" width="6.81640625" style="12" customWidth="1"/>
    <col min="13348" max="13348" width="7.7265625" style="12" customWidth="1"/>
    <col min="13349" max="13355" width="9.1796875" style="12" customWidth="1"/>
    <col min="13356" max="13565" width="8.7265625" style="12"/>
    <col min="13566" max="13567" width="8.81640625" style="12" customWidth="1"/>
    <col min="13568" max="13569" width="0.81640625" style="12" customWidth="1"/>
    <col min="13570" max="13570" width="3.81640625" style="12" customWidth="1"/>
    <col min="13571" max="13571" width="12.1796875" style="12" bestFit="1" customWidth="1"/>
    <col min="13572" max="13572" width="12" style="12" bestFit="1" customWidth="1"/>
    <col min="13573" max="13573" width="30.26953125" style="12" customWidth="1"/>
    <col min="13574" max="13574" width="5.453125" style="12" customWidth="1"/>
    <col min="13575" max="13575" width="2.453125" style="12" customWidth="1"/>
    <col min="13576" max="13576" width="8.7265625" style="12"/>
    <col min="13577" max="13577" width="12" style="12" customWidth="1"/>
    <col min="13578" max="13578" width="12" style="12" bestFit="1" customWidth="1"/>
    <col min="13579" max="13579" width="7.54296875" style="12" bestFit="1" customWidth="1"/>
    <col min="13580" max="13580" width="1.7265625" style="12" customWidth="1"/>
    <col min="13581" max="13581" width="2.453125" style="12" customWidth="1"/>
    <col min="13582" max="13582" width="8.7265625" style="12"/>
    <col min="13583" max="13584" width="12" style="12" customWidth="1"/>
    <col min="13585" max="13585" width="7.54296875" style="12" bestFit="1" customWidth="1"/>
    <col min="13586" max="13586" width="2.1796875" style="12" customWidth="1"/>
    <col min="13587" max="13589" width="9.26953125" style="12" bestFit="1" customWidth="1"/>
    <col min="13590" max="13597" width="9.1796875" style="12" customWidth="1"/>
    <col min="13598" max="13598" width="10.1796875" style="12" customWidth="1"/>
    <col min="13599" max="13599" width="5.81640625" style="12" customWidth="1"/>
    <col min="13600" max="13600" width="8.26953125" style="12" customWidth="1"/>
    <col min="13601" max="13601" width="9.7265625" style="12" customWidth="1"/>
    <col min="13602" max="13602" width="8.1796875" style="12" customWidth="1"/>
    <col min="13603" max="13603" width="6.81640625" style="12" customWidth="1"/>
    <col min="13604" max="13604" width="7.7265625" style="12" customWidth="1"/>
    <col min="13605" max="13611" width="9.1796875" style="12" customWidth="1"/>
    <col min="13612" max="13821" width="8.7265625" style="12"/>
    <col min="13822" max="13823" width="8.81640625" style="12" customWidth="1"/>
    <col min="13824" max="13825" width="0.81640625" style="12" customWidth="1"/>
    <col min="13826" max="13826" width="3.81640625" style="12" customWidth="1"/>
    <col min="13827" max="13827" width="12.1796875" style="12" bestFit="1" customWidth="1"/>
    <col min="13828" max="13828" width="12" style="12" bestFit="1" customWidth="1"/>
    <col min="13829" max="13829" width="30.26953125" style="12" customWidth="1"/>
    <col min="13830" max="13830" width="5.453125" style="12" customWidth="1"/>
    <col min="13831" max="13831" width="2.453125" style="12" customWidth="1"/>
    <col min="13832" max="13832" width="8.7265625" style="12"/>
    <col min="13833" max="13833" width="12" style="12" customWidth="1"/>
    <col min="13834" max="13834" width="12" style="12" bestFit="1" customWidth="1"/>
    <col min="13835" max="13835" width="7.54296875" style="12" bestFit="1" customWidth="1"/>
    <col min="13836" max="13836" width="1.7265625" style="12" customWidth="1"/>
    <col min="13837" max="13837" width="2.453125" style="12" customWidth="1"/>
    <col min="13838" max="13838" width="8.7265625" style="12"/>
    <col min="13839" max="13840" width="12" style="12" customWidth="1"/>
    <col min="13841" max="13841" width="7.54296875" style="12" bestFit="1" customWidth="1"/>
    <col min="13842" max="13842" width="2.1796875" style="12" customWidth="1"/>
    <col min="13843" max="13845" width="9.26953125" style="12" bestFit="1" customWidth="1"/>
    <col min="13846" max="13853" width="9.1796875" style="12" customWidth="1"/>
    <col min="13854" max="13854" width="10.1796875" style="12" customWidth="1"/>
    <col min="13855" max="13855" width="5.81640625" style="12" customWidth="1"/>
    <col min="13856" max="13856" width="8.26953125" style="12" customWidth="1"/>
    <col min="13857" max="13857" width="9.7265625" style="12" customWidth="1"/>
    <col min="13858" max="13858" width="8.1796875" style="12" customWidth="1"/>
    <col min="13859" max="13859" width="6.81640625" style="12" customWidth="1"/>
    <col min="13860" max="13860" width="7.7265625" style="12" customWidth="1"/>
    <col min="13861" max="13867" width="9.1796875" style="12" customWidth="1"/>
    <col min="13868" max="14077" width="8.7265625" style="12"/>
    <col min="14078" max="14079" width="8.81640625" style="12" customWidth="1"/>
    <col min="14080" max="14081" width="0.81640625" style="12" customWidth="1"/>
    <col min="14082" max="14082" width="3.81640625" style="12" customWidth="1"/>
    <col min="14083" max="14083" width="12.1796875" style="12" bestFit="1" customWidth="1"/>
    <col min="14084" max="14084" width="12" style="12" bestFit="1" customWidth="1"/>
    <col min="14085" max="14085" width="30.26953125" style="12" customWidth="1"/>
    <col min="14086" max="14086" width="5.453125" style="12" customWidth="1"/>
    <col min="14087" max="14087" width="2.453125" style="12" customWidth="1"/>
    <col min="14088" max="14088" width="8.7265625" style="12"/>
    <col min="14089" max="14089" width="12" style="12" customWidth="1"/>
    <col min="14090" max="14090" width="12" style="12" bestFit="1" customWidth="1"/>
    <col min="14091" max="14091" width="7.54296875" style="12" bestFit="1" customWidth="1"/>
    <col min="14092" max="14092" width="1.7265625" style="12" customWidth="1"/>
    <col min="14093" max="14093" width="2.453125" style="12" customWidth="1"/>
    <col min="14094" max="14094" width="8.7265625" style="12"/>
    <col min="14095" max="14096" width="12" style="12" customWidth="1"/>
    <col min="14097" max="14097" width="7.54296875" style="12" bestFit="1" customWidth="1"/>
    <col min="14098" max="14098" width="2.1796875" style="12" customWidth="1"/>
    <col min="14099" max="14101" width="9.26953125" style="12" bestFit="1" customWidth="1"/>
    <col min="14102" max="14109" width="9.1796875" style="12" customWidth="1"/>
    <col min="14110" max="14110" width="10.1796875" style="12" customWidth="1"/>
    <col min="14111" max="14111" width="5.81640625" style="12" customWidth="1"/>
    <col min="14112" max="14112" width="8.26953125" style="12" customWidth="1"/>
    <col min="14113" max="14113" width="9.7265625" style="12" customWidth="1"/>
    <col min="14114" max="14114" width="8.1796875" style="12" customWidth="1"/>
    <col min="14115" max="14115" width="6.81640625" style="12" customWidth="1"/>
    <col min="14116" max="14116" width="7.7265625" style="12" customWidth="1"/>
    <col min="14117" max="14123" width="9.1796875" style="12" customWidth="1"/>
    <col min="14124" max="14333" width="8.7265625" style="12"/>
    <col min="14334" max="14335" width="8.81640625" style="12" customWidth="1"/>
    <col min="14336" max="14337" width="0.81640625" style="12" customWidth="1"/>
    <col min="14338" max="14338" width="3.81640625" style="12" customWidth="1"/>
    <col min="14339" max="14339" width="12.1796875" style="12" bestFit="1" customWidth="1"/>
    <col min="14340" max="14340" width="12" style="12" bestFit="1" customWidth="1"/>
    <col min="14341" max="14341" width="30.26953125" style="12" customWidth="1"/>
    <col min="14342" max="14342" width="5.453125" style="12" customWidth="1"/>
    <col min="14343" max="14343" width="2.453125" style="12" customWidth="1"/>
    <col min="14344" max="14344" width="8.7265625" style="12"/>
    <col min="14345" max="14345" width="12" style="12" customWidth="1"/>
    <col min="14346" max="14346" width="12" style="12" bestFit="1" customWidth="1"/>
    <col min="14347" max="14347" width="7.54296875" style="12" bestFit="1" customWidth="1"/>
    <col min="14348" max="14348" width="1.7265625" style="12" customWidth="1"/>
    <col min="14349" max="14349" width="2.453125" style="12" customWidth="1"/>
    <col min="14350" max="14350" width="8.7265625" style="12"/>
    <col min="14351" max="14352" width="12" style="12" customWidth="1"/>
    <col min="14353" max="14353" width="7.54296875" style="12" bestFit="1" customWidth="1"/>
    <col min="14354" max="14354" width="2.1796875" style="12" customWidth="1"/>
    <col min="14355" max="14357" width="9.26953125" style="12" bestFit="1" customWidth="1"/>
    <col min="14358" max="14365" width="9.1796875" style="12" customWidth="1"/>
    <col min="14366" max="14366" width="10.1796875" style="12" customWidth="1"/>
    <col min="14367" max="14367" width="5.81640625" style="12" customWidth="1"/>
    <col min="14368" max="14368" width="8.26953125" style="12" customWidth="1"/>
    <col min="14369" max="14369" width="9.7265625" style="12" customWidth="1"/>
    <col min="14370" max="14370" width="8.1796875" style="12" customWidth="1"/>
    <col min="14371" max="14371" width="6.81640625" style="12" customWidth="1"/>
    <col min="14372" max="14372" width="7.7265625" style="12" customWidth="1"/>
    <col min="14373" max="14379" width="9.1796875" style="12" customWidth="1"/>
    <col min="14380" max="14589" width="8.7265625" style="12"/>
    <col min="14590" max="14591" width="8.81640625" style="12" customWidth="1"/>
    <col min="14592" max="14593" width="0.81640625" style="12" customWidth="1"/>
    <col min="14594" max="14594" width="3.81640625" style="12" customWidth="1"/>
    <col min="14595" max="14595" width="12.1796875" style="12" bestFit="1" customWidth="1"/>
    <col min="14596" max="14596" width="12" style="12" bestFit="1" customWidth="1"/>
    <col min="14597" max="14597" width="30.26953125" style="12" customWidth="1"/>
    <col min="14598" max="14598" width="5.453125" style="12" customWidth="1"/>
    <col min="14599" max="14599" width="2.453125" style="12" customWidth="1"/>
    <col min="14600" max="14600" width="8.7265625" style="12"/>
    <col min="14601" max="14601" width="12" style="12" customWidth="1"/>
    <col min="14602" max="14602" width="12" style="12" bestFit="1" customWidth="1"/>
    <col min="14603" max="14603" width="7.54296875" style="12" bestFit="1" customWidth="1"/>
    <col min="14604" max="14604" width="1.7265625" style="12" customWidth="1"/>
    <col min="14605" max="14605" width="2.453125" style="12" customWidth="1"/>
    <col min="14606" max="14606" width="8.7265625" style="12"/>
    <col min="14607" max="14608" width="12" style="12" customWidth="1"/>
    <col min="14609" max="14609" width="7.54296875" style="12" bestFit="1" customWidth="1"/>
    <col min="14610" max="14610" width="2.1796875" style="12" customWidth="1"/>
    <col min="14611" max="14613" width="9.26953125" style="12" bestFit="1" customWidth="1"/>
    <col min="14614" max="14621" width="9.1796875" style="12" customWidth="1"/>
    <col min="14622" max="14622" width="10.1796875" style="12" customWidth="1"/>
    <col min="14623" max="14623" width="5.81640625" style="12" customWidth="1"/>
    <col min="14624" max="14624" width="8.26953125" style="12" customWidth="1"/>
    <col min="14625" max="14625" width="9.7265625" style="12" customWidth="1"/>
    <col min="14626" max="14626" width="8.1796875" style="12" customWidth="1"/>
    <col min="14627" max="14627" width="6.81640625" style="12" customWidth="1"/>
    <col min="14628" max="14628" width="7.7265625" style="12" customWidth="1"/>
    <col min="14629" max="14635" width="9.1796875" style="12" customWidth="1"/>
    <col min="14636" max="14845" width="8.7265625" style="12"/>
    <col min="14846" max="14847" width="8.81640625" style="12" customWidth="1"/>
    <col min="14848" max="14849" width="0.81640625" style="12" customWidth="1"/>
    <col min="14850" max="14850" width="3.81640625" style="12" customWidth="1"/>
    <col min="14851" max="14851" width="12.1796875" style="12" bestFit="1" customWidth="1"/>
    <col min="14852" max="14852" width="12" style="12" bestFit="1" customWidth="1"/>
    <col min="14853" max="14853" width="30.26953125" style="12" customWidth="1"/>
    <col min="14854" max="14854" width="5.453125" style="12" customWidth="1"/>
    <col min="14855" max="14855" width="2.453125" style="12" customWidth="1"/>
    <col min="14856" max="14856" width="8.7265625" style="12"/>
    <col min="14857" max="14857" width="12" style="12" customWidth="1"/>
    <col min="14858" max="14858" width="12" style="12" bestFit="1" customWidth="1"/>
    <col min="14859" max="14859" width="7.54296875" style="12" bestFit="1" customWidth="1"/>
    <col min="14860" max="14860" width="1.7265625" style="12" customWidth="1"/>
    <col min="14861" max="14861" width="2.453125" style="12" customWidth="1"/>
    <col min="14862" max="14862" width="8.7265625" style="12"/>
    <col min="14863" max="14864" width="12" style="12" customWidth="1"/>
    <col min="14865" max="14865" width="7.54296875" style="12" bestFit="1" customWidth="1"/>
    <col min="14866" max="14866" width="2.1796875" style="12" customWidth="1"/>
    <col min="14867" max="14869" width="9.26953125" style="12" bestFit="1" customWidth="1"/>
    <col min="14870" max="14877" width="9.1796875" style="12" customWidth="1"/>
    <col min="14878" max="14878" width="10.1796875" style="12" customWidth="1"/>
    <col min="14879" max="14879" width="5.81640625" style="12" customWidth="1"/>
    <col min="14880" max="14880" width="8.26953125" style="12" customWidth="1"/>
    <col min="14881" max="14881" width="9.7265625" style="12" customWidth="1"/>
    <col min="14882" max="14882" width="8.1796875" style="12" customWidth="1"/>
    <col min="14883" max="14883" width="6.81640625" style="12" customWidth="1"/>
    <col min="14884" max="14884" width="7.7265625" style="12" customWidth="1"/>
    <col min="14885" max="14891" width="9.1796875" style="12" customWidth="1"/>
    <col min="14892" max="15101" width="8.7265625" style="12"/>
    <col min="15102" max="15103" width="8.81640625" style="12" customWidth="1"/>
    <col min="15104" max="15105" width="0.81640625" style="12" customWidth="1"/>
    <col min="15106" max="15106" width="3.81640625" style="12" customWidth="1"/>
    <col min="15107" max="15107" width="12.1796875" style="12" bestFit="1" customWidth="1"/>
    <col min="15108" max="15108" width="12" style="12" bestFit="1" customWidth="1"/>
    <col min="15109" max="15109" width="30.26953125" style="12" customWidth="1"/>
    <col min="15110" max="15110" width="5.453125" style="12" customWidth="1"/>
    <col min="15111" max="15111" width="2.453125" style="12" customWidth="1"/>
    <col min="15112" max="15112" width="8.7265625" style="12"/>
    <col min="15113" max="15113" width="12" style="12" customWidth="1"/>
    <col min="15114" max="15114" width="12" style="12" bestFit="1" customWidth="1"/>
    <col min="15115" max="15115" width="7.54296875" style="12" bestFit="1" customWidth="1"/>
    <col min="15116" max="15116" width="1.7265625" style="12" customWidth="1"/>
    <col min="15117" max="15117" width="2.453125" style="12" customWidth="1"/>
    <col min="15118" max="15118" width="8.7265625" style="12"/>
    <col min="15119" max="15120" width="12" style="12" customWidth="1"/>
    <col min="15121" max="15121" width="7.54296875" style="12" bestFit="1" customWidth="1"/>
    <col min="15122" max="15122" width="2.1796875" style="12" customWidth="1"/>
    <col min="15123" max="15125" width="9.26953125" style="12" bestFit="1" customWidth="1"/>
    <col min="15126" max="15133" width="9.1796875" style="12" customWidth="1"/>
    <col min="15134" max="15134" width="10.1796875" style="12" customWidth="1"/>
    <col min="15135" max="15135" width="5.81640625" style="12" customWidth="1"/>
    <col min="15136" max="15136" width="8.26953125" style="12" customWidth="1"/>
    <col min="15137" max="15137" width="9.7265625" style="12" customWidth="1"/>
    <col min="15138" max="15138" width="8.1796875" style="12" customWidth="1"/>
    <col min="15139" max="15139" width="6.81640625" style="12" customWidth="1"/>
    <col min="15140" max="15140" width="7.7265625" style="12" customWidth="1"/>
    <col min="15141" max="15147" width="9.1796875" style="12" customWidth="1"/>
    <col min="15148" max="15357" width="8.7265625" style="12"/>
    <col min="15358" max="15359" width="8.81640625" style="12" customWidth="1"/>
    <col min="15360" max="15361" width="0.81640625" style="12" customWidth="1"/>
    <col min="15362" max="15362" width="3.81640625" style="12" customWidth="1"/>
    <col min="15363" max="15363" width="12.1796875" style="12" bestFit="1" customWidth="1"/>
    <col min="15364" max="15364" width="12" style="12" bestFit="1" customWidth="1"/>
    <col min="15365" max="15365" width="30.26953125" style="12" customWidth="1"/>
    <col min="15366" max="15366" width="5.453125" style="12" customWidth="1"/>
    <col min="15367" max="15367" width="2.453125" style="12" customWidth="1"/>
    <col min="15368" max="15368" width="8.7265625" style="12"/>
    <col min="15369" max="15369" width="12" style="12" customWidth="1"/>
    <col min="15370" max="15370" width="12" style="12" bestFit="1" customWidth="1"/>
    <col min="15371" max="15371" width="7.54296875" style="12" bestFit="1" customWidth="1"/>
    <col min="15372" max="15372" width="1.7265625" style="12" customWidth="1"/>
    <col min="15373" max="15373" width="2.453125" style="12" customWidth="1"/>
    <col min="15374" max="15374" width="8.7265625" style="12"/>
    <col min="15375" max="15376" width="12" style="12" customWidth="1"/>
    <col min="15377" max="15377" width="7.54296875" style="12" bestFit="1" customWidth="1"/>
    <col min="15378" max="15378" width="2.1796875" style="12" customWidth="1"/>
    <col min="15379" max="15381" width="9.26953125" style="12" bestFit="1" customWidth="1"/>
    <col min="15382" max="15389" width="9.1796875" style="12" customWidth="1"/>
    <col min="15390" max="15390" width="10.1796875" style="12" customWidth="1"/>
    <col min="15391" max="15391" width="5.81640625" style="12" customWidth="1"/>
    <col min="15392" max="15392" width="8.26953125" style="12" customWidth="1"/>
    <col min="15393" max="15393" width="9.7265625" style="12" customWidth="1"/>
    <col min="15394" max="15394" width="8.1796875" style="12" customWidth="1"/>
    <col min="15395" max="15395" width="6.81640625" style="12" customWidth="1"/>
    <col min="15396" max="15396" width="7.7265625" style="12" customWidth="1"/>
    <col min="15397" max="15403" width="9.1796875" style="12" customWidth="1"/>
    <col min="15404" max="15613" width="8.7265625" style="12"/>
    <col min="15614" max="15615" width="8.81640625" style="12" customWidth="1"/>
    <col min="15616" max="15617" width="0.81640625" style="12" customWidth="1"/>
    <col min="15618" max="15618" width="3.81640625" style="12" customWidth="1"/>
    <col min="15619" max="15619" width="12.1796875" style="12" bestFit="1" customWidth="1"/>
    <col min="15620" max="15620" width="12" style="12" bestFit="1" customWidth="1"/>
    <col min="15621" max="15621" width="30.26953125" style="12" customWidth="1"/>
    <col min="15622" max="15622" width="5.453125" style="12" customWidth="1"/>
    <col min="15623" max="15623" width="2.453125" style="12" customWidth="1"/>
    <col min="15624" max="15624" width="8.7265625" style="12"/>
    <col min="15625" max="15625" width="12" style="12" customWidth="1"/>
    <col min="15626" max="15626" width="12" style="12" bestFit="1" customWidth="1"/>
    <col min="15627" max="15627" width="7.54296875" style="12" bestFit="1" customWidth="1"/>
    <col min="15628" max="15628" width="1.7265625" style="12" customWidth="1"/>
    <col min="15629" max="15629" width="2.453125" style="12" customWidth="1"/>
    <col min="15630" max="15630" width="8.7265625" style="12"/>
    <col min="15631" max="15632" width="12" style="12" customWidth="1"/>
    <col min="15633" max="15633" width="7.54296875" style="12" bestFit="1" customWidth="1"/>
    <col min="15634" max="15634" width="2.1796875" style="12" customWidth="1"/>
    <col min="15635" max="15637" width="9.26953125" style="12" bestFit="1" customWidth="1"/>
    <col min="15638" max="15645" width="9.1796875" style="12" customWidth="1"/>
    <col min="15646" max="15646" width="10.1796875" style="12" customWidth="1"/>
    <col min="15647" max="15647" width="5.81640625" style="12" customWidth="1"/>
    <col min="15648" max="15648" width="8.26953125" style="12" customWidth="1"/>
    <col min="15649" max="15649" width="9.7265625" style="12" customWidth="1"/>
    <col min="15650" max="15650" width="8.1796875" style="12" customWidth="1"/>
    <col min="15651" max="15651" width="6.81640625" style="12" customWidth="1"/>
    <col min="15652" max="15652" width="7.7265625" style="12" customWidth="1"/>
    <col min="15653" max="15659" width="9.1796875" style="12" customWidth="1"/>
    <col min="15660" max="15869" width="8.7265625" style="12"/>
    <col min="15870" max="15871" width="8.81640625" style="12" customWidth="1"/>
    <col min="15872" max="15873" width="0.81640625" style="12" customWidth="1"/>
    <col min="15874" max="15874" width="3.81640625" style="12" customWidth="1"/>
    <col min="15875" max="15875" width="12.1796875" style="12" bestFit="1" customWidth="1"/>
    <col min="15876" max="15876" width="12" style="12" bestFit="1" customWidth="1"/>
    <col min="15877" max="15877" width="30.26953125" style="12" customWidth="1"/>
    <col min="15878" max="15878" width="5.453125" style="12" customWidth="1"/>
    <col min="15879" max="15879" width="2.453125" style="12" customWidth="1"/>
    <col min="15880" max="15880" width="8.7265625" style="12"/>
    <col min="15881" max="15881" width="12" style="12" customWidth="1"/>
    <col min="15882" max="15882" width="12" style="12" bestFit="1" customWidth="1"/>
    <col min="15883" max="15883" width="7.54296875" style="12" bestFit="1" customWidth="1"/>
    <col min="15884" max="15884" width="1.7265625" style="12" customWidth="1"/>
    <col min="15885" max="15885" width="2.453125" style="12" customWidth="1"/>
    <col min="15886" max="15886" width="8.7265625" style="12"/>
    <col min="15887" max="15888" width="12" style="12" customWidth="1"/>
    <col min="15889" max="15889" width="7.54296875" style="12" bestFit="1" customWidth="1"/>
    <col min="15890" max="15890" width="2.1796875" style="12" customWidth="1"/>
    <col min="15891" max="15893" width="9.26953125" style="12" bestFit="1" customWidth="1"/>
    <col min="15894" max="15901" width="9.1796875" style="12" customWidth="1"/>
    <col min="15902" max="15902" width="10.1796875" style="12" customWidth="1"/>
    <col min="15903" max="15903" width="5.81640625" style="12" customWidth="1"/>
    <col min="15904" max="15904" width="8.26953125" style="12" customWidth="1"/>
    <col min="15905" max="15905" width="9.7265625" style="12" customWidth="1"/>
    <col min="15906" max="15906" width="8.1796875" style="12" customWidth="1"/>
    <col min="15907" max="15907" width="6.81640625" style="12" customWidth="1"/>
    <col min="15908" max="15908" width="7.7265625" style="12" customWidth="1"/>
    <col min="15909" max="15915" width="9.1796875" style="12" customWidth="1"/>
    <col min="15916" max="16125" width="8.7265625" style="12"/>
    <col min="16126" max="16127" width="8.81640625" style="12" customWidth="1"/>
    <col min="16128" max="16129" width="0.81640625" style="12" customWidth="1"/>
    <col min="16130" max="16130" width="3.81640625" style="12" customWidth="1"/>
    <col min="16131" max="16131" width="12.1796875" style="12" bestFit="1" customWidth="1"/>
    <col min="16132" max="16132" width="12" style="12" bestFit="1" customWidth="1"/>
    <col min="16133" max="16133" width="30.26953125" style="12" customWidth="1"/>
    <col min="16134" max="16134" width="5.453125" style="12" customWidth="1"/>
    <col min="16135" max="16135" width="2.453125" style="12" customWidth="1"/>
    <col min="16136" max="16136" width="8.7265625" style="12"/>
    <col min="16137" max="16137" width="12" style="12" customWidth="1"/>
    <col min="16138" max="16138" width="12" style="12" bestFit="1" customWidth="1"/>
    <col min="16139" max="16139" width="7.54296875" style="12" bestFit="1" customWidth="1"/>
    <col min="16140" max="16140" width="1.7265625" style="12" customWidth="1"/>
    <col min="16141" max="16141" width="2.453125" style="12" customWidth="1"/>
    <col min="16142" max="16142" width="8.7265625" style="12"/>
    <col min="16143" max="16144" width="12" style="12" customWidth="1"/>
    <col min="16145" max="16145" width="7.54296875" style="12" bestFit="1" customWidth="1"/>
    <col min="16146" max="16146" width="2.1796875" style="12" customWidth="1"/>
    <col min="16147" max="16149" width="9.26953125" style="12" bestFit="1" customWidth="1"/>
    <col min="16150" max="16157" width="9.1796875" style="12" customWidth="1"/>
    <col min="16158" max="16158" width="10.1796875" style="12" customWidth="1"/>
    <col min="16159" max="16159" width="5.81640625" style="12" customWidth="1"/>
    <col min="16160" max="16160" width="8.26953125" style="12" customWidth="1"/>
    <col min="16161" max="16161" width="9.7265625" style="12" customWidth="1"/>
    <col min="16162" max="16162" width="8.1796875" style="12" customWidth="1"/>
    <col min="16163" max="16163" width="6.81640625" style="12" customWidth="1"/>
    <col min="16164" max="16164" width="7.7265625" style="12" customWidth="1"/>
    <col min="16165" max="16171" width="9.1796875" style="12" customWidth="1"/>
    <col min="16172" max="16381" width="8.7265625" style="12"/>
    <col min="16382" max="16384" width="8.7265625" style="12" customWidth="1"/>
  </cols>
  <sheetData>
    <row r="1" spans="1:35" ht="4.5" customHeight="1" thickBot="1" x14ac:dyDescent="0.4">
      <c r="A1" s="17"/>
    </row>
    <row r="2" spans="1:35" ht="86" customHeight="1" x14ac:dyDescent="0.35">
      <c r="B2" s="127" t="str">
        <f>"Round "&amp;Y22&amp;" Statistics"</f>
        <v>Round 3 Statistics</v>
      </c>
      <c r="C2" s="128"/>
      <c r="D2" s="128"/>
      <c r="E2" s="128"/>
      <c r="F2" s="128"/>
      <c r="G2" s="128"/>
      <c r="H2" s="128"/>
      <c r="I2" s="128"/>
      <c r="J2" s="128"/>
      <c r="K2" s="128"/>
      <c r="L2" s="128"/>
      <c r="M2" s="128"/>
      <c r="N2" s="128"/>
      <c r="O2" s="128"/>
      <c r="P2" s="128"/>
      <c r="Q2" s="128"/>
      <c r="R2" s="52"/>
      <c r="S2" s="53"/>
      <c r="AI2" s="114" t="s">
        <v>90</v>
      </c>
    </row>
    <row r="3" spans="1:35" x14ac:dyDescent="0.35">
      <c r="B3" s="25"/>
      <c r="C3" s="18"/>
      <c r="D3" s="17"/>
      <c r="E3" s="17"/>
      <c r="F3" s="17"/>
      <c r="R3" s="48"/>
      <c r="AG3" s="57">
        <v>12</v>
      </c>
      <c r="AH3" s="57">
        <f>COUNTIF(Engine!AL$1:AL$90,AG3)</f>
        <v>1</v>
      </c>
      <c r="AI3" s="114" t="s">
        <v>91</v>
      </c>
    </row>
    <row r="4" spans="1:35" x14ac:dyDescent="0.35">
      <c r="B4" s="25"/>
      <c r="C4" s="129" t="s">
        <v>23</v>
      </c>
      <c r="D4" s="129"/>
      <c r="E4" s="17"/>
      <c r="F4" s="17"/>
      <c r="G4" s="32" t="str">
        <f>IF($AI$23=1,Data!Q3,"Standouts")</f>
        <v>Thu 8:00pm AEST</v>
      </c>
      <c r="H4" s="27"/>
      <c r="I4" s="27"/>
      <c r="J4" s="27"/>
      <c r="K4" s="27"/>
      <c r="L4" s="50"/>
      <c r="M4" s="96" t="str">
        <f>IF($AI$23=1,Data!Q7,"Standouts")</f>
        <v>Sat 5:30pm AEST</v>
      </c>
      <c r="N4" s="96"/>
      <c r="O4" s="96"/>
      <c r="P4" s="96"/>
      <c r="Q4" s="96"/>
      <c r="R4" s="48"/>
      <c r="AG4" s="57">
        <v>11</v>
      </c>
      <c r="AH4" s="57">
        <f>COUNTIF(Engine!AL$1:AL$90,AG4)</f>
        <v>0</v>
      </c>
      <c r="AI4" s="114" t="s">
        <v>92</v>
      </c>
    </row>
    <row r="5" spans="1:35" x14ac:dyDescent="0.35">
      <c r="B5" s="25"/>
      <c r="C5" s="129"/>
      <c r="D5" s="129"/>
      <c r="E5" s="17"/>
      <c r="F5" s="17"/>
      <c r="G5" s="26"/>
      <c r="H5" s="130"/>
      <c r="K5" s="27"/>
      <c r="M5" s="97"/>
      <c r="N5" s="130"/>
      <c r="Q5" s="96"/>
      <c r="R5" s="48"/>
      <c r="AG5" s="57">
        <v>10</v>
      </c>
      <c r="AH5" s="57">
        <f>COUNTIF(Engine!AL$1:AL$90,AG5)</f>
        <v>0</v>
      </c>
      <c r="AI5" s="114" t="s">
        <v>93</v>
      </c>
    </row>
    <row r="6" spans="1:35" x14ac:dyDescent="0.35">
      <c r="B6" s="25"/>
      <c r="C6" s="19" t="s">
        <v>24</v>
      </c>
      <c r="D6" s="17"/>
      <c r="E6" s="17"/>
      <c r="F6" s="17"/>
      <c r="G6" s="26"/>
      <c r="H6" s="130"/>
      <c r="K6" s="29" t="str">
        <f>ROUND(AE14,1)&amp;"%"</f>
        <v>58%</v>
      </c>
      <c r="M6" s="97"/>
      <c r="N6" s="130"/>
      <c r="Q6" s="98" t="str">
        <f>IF(T23&lt;5,"",ROUND(AE10,1)&amp;"%")</f>
        <v>94%</v>
      </c>
      <c r="R6" s="48"/>
      <c r="T6" s="57" t="s">
        <v>25</v>
      </c>
      <c r="U6" s="57" t="s">
        <v>26</v>
      </c>
      <c r="V6" s="57" t="s">
        <v>27</v>
      </c>
      <c r="W6" s="57" t="s">
        <v>28</v>
      </c>
      <c r="X6" s="57" t="s">
        <v>29</v>
      </c>
      <c r="Y6" s="57" t="s">
        <v>30</v>
      </c>
      <c r="Z6" s="57" t="s">
        <v>31</v>
      </c>
      <c r="AA6" s="57" t="s">
        <v>32</v>
      </c>
      <c r="AC6" s="57" t="s">
        <v>33</v>
      </c>
      <c r="AD6" s="57" t="s">
        <v>34</v>
      </c>
      <c r="AE6" s="57" t="s">
        <v>29</v>
      </c>
      <c r="AF6" s="57" t="s">
        <v>30</v>
      </c>
      <c r="AG6" s="57">
        <v>9</v>
      </c>
      <c r="AH6" s="57">
        <f>COUNTIF(Engine!AL$1:AL$90,AG6)</f>
        <v>11</v>
      </c>
    </row>
    <row r="7" spans="1:35" ht="12.75" customHeight="1" x14ac:dyDescent="0.35">
      <c r="B7" s="25"/>
      <c r="C7" s="19" t="s">
        <v>35</v>
      </c>
      <c r="D7" s="17"/>
      <c r="E7" s="17"/>
      <c r="F7" s="17"/>
      <c r="G7" s="51"/>
      <c r="H7" s="130"/>
      <c r="I7" s="50"/>
      <c r="J7" s="50"/>
      <c r="K7" s="49"/>
      <c r="M7" s="97"/>
      <c r="N7" s="130"/>
      <c r="O7" s="50"/>
      <c r="P7" s="50"/>
      <c r="Q7" s="98"/>
      <c r="R7" s="48"/>
      <c r="S7" s="57">
        <v>8</v>
      </c>
      <c r="T7" s="57">
        <f>IF(T23&lt;8,"",COUNTIF(Engine!P1:P90,$AA$24))</f>
        <v>42</v>
      </c>
      <c r="U7" s="57">
        <f>IF(T23&lt;8,"",COUNTIF(Engine!P1:P90,$AA$25))</f>
        <v>8</v>
      </c>
      <c r="V7" s="57">
        <f>IF(T23&lt;8,"",COUNTIF(Engine!Q1:Q90,AA24))</f>
        <v>1</v>
      </c>
      <c r="W7" s="57">
        <f>IF(T23&lt;8,"",COUNTIF(Engine!Q1:Q90,AA25))</f>
        <v>0</v>
      </c>
      <c r="X7" s="57">
        <f>IF(T23&lt;8,"",T7/($V$22)*100)</f>
        <v>84</v>
      </c>
      <c r="Y7" s="57">
        <f>IF(T23&lt;8,"",100-X7)</f>
        <v>16</v>
      </c>
      <c r="Z7" s="57">
        <f>IF(T23&lt;8,"",V7/$V$23*100)</f>
        <v>2</v>
      </c>
      <c r="AA7" s="57">
        <f>IF(T23&lt;8,"",W7/$V$23*100)</f>
        <v>0</v>
      </c>
      <c r="AC7" s="57">
        <f t="shared" ref="AC7:AD14" si="0">IF($AI$23=1,T7,V7)</f>
        <v>42</v>
      </c>
      <c r="AD7" s="57">
        <f t="shared" si="0"/>
        <v>8</v>
      </c>
      <c r="AE7" s="57">
        <f t="shared" ref="AE7:AF14" si="1">IF($AI$23=1,X7,Z7)</f>
        <v>84</v>
      </c>
      <c r="AF7" s="57">
        <f t="shared" si="1"/>
        <v>16</v>
      </c>
      <c r="AG7" s="57">
        <v>8</v>
      </c>
      <c r="AH7" s="57">
        <f>COUNTIF(Engine!AL$1:AL$90,AG7)</f>
        <v>10</v>
      </c>
      <c r="AI7" s="114" t="s">
        <v>100</v>
      </c>
    </row>
    <row r="8" spans="1:35" ht="12.5" customHeight="1" x14ac:dyDescent="0.35">
      <c r="B8" s="34"/>
      <c r="C8" s="18"/>
      <c r="D8" s="17"/>
      <c r="E8" s="17"/>
      <c r="F8" s="17"/>
      <c r="G8" s="26"/>
      <c r="H8" s="130"/>
      <c r="K8" s="27"/>
      <c r="M8" s="97"/>
      <c r="N8" s="130"/>
      <c r="Q8" s="98"/>
      <c r="R8" s="131"/>
      <c r="S8" s="57">
        <v>7</v>
      </c>
      <c r="T8" s="57">
        <f>IF(T23&lt;7,"",COUNTIF(Engine!O1:O90,$Z$24))</f>
        <v>41</v>
      </c>
      <c r="U8" s="57">
        <f>IF(T23&lt;7,"",COUNTIF(Engine!O1:O90,$Z$25))</f>
        <v>9</v>
      </c>
      <c r="V8" s="57">
        <f>IF(T23&lt;7,"",COUNTIF(Engine!Q1:Q90,Z24))</f>
        <v>4</v>
      </c>
      <c r="W8" s="57">
        <f>IF(T23&lt;7,"",COUNTIF(Engine!Q1:Q90,Z25))</f>
        <v>0</v>
      </c>
      <c r="X8" s="57">
        <f>IF(T23&lt;7,"",T8/($V$22)*100)</f>
        <v>82</v>
      </c>
      <c r="Y8" s="57">
        <f>IF(T23&lt;7,"",100-X8)</f>
        <v>18</v>
      </c>
      <c r="Z8" s="57">
        <f>IF(T23&lt;7,"",V8/$V$23*100)</f>
        <v>8</v>
      </c>
      <c r="AA8" s="57">
        <f>IF(T23&lt;7,"",W8/$V$23*100)</f>
        <v>0</v>
      </c>
      <c r="AC8" s="57">
        <f t="shared" si="0"/>
        <v>41</v>
      </c>
      <c r="AD8" s="57">
        <f t="shared" si="0"/>
        <v>9</v>
      </c>
      <c r="AE8" s="57">
        <f t="shared" si="1"/>
        <v>82</v>
      </c>
      <c r="AF8" s="57">
        <f t="shared" si="1"/>
        <v>18</v>
      </c>
      <c r="AG8" s="57">
        <v>7</v>
      </c>
      <c r="AH8" s="57">
        <f>COUNTIF(Engine!AL$1:AL$90,AG8)</f>
        <v>2</v>
      </c>
      <c r="AI8" s="114" t="s">
        <v>90</v>
      </c>
    </row>
    <row r="9" spans="1:35" ht="12.75" customHeight="1" x14ac:dyDescent="0.35">
      <c r="B9" s="34"/>
      <c r="C9" s="18"/>
      <c r="D9" s="17"/>
      <c r="E9" s="17"/>
      <c r="F9" s="17"/>
      <c r="G9" s="26"/>
      <c r="H9" s="130"/>
      <c r="K9" s="29" t="str">
        <f>ROUND(AF14,1)&amp;"%"</f>
        <v>42%</v>
      </c>
      <c r="L9" s="31"/>
      <c r="M9" s="97"/>
      <c r="N9" s="130"/>
      <c r="Q9" s="98" t="str">
        <f>IF(T23&lt;5,"",ROUND(AF10,1)&amp;"%")</f>
        <v>6%</v>
      </c>
      <c r="R9" s="131"/>
      <c r="S9" s="57">
        <v>6</v>
      </c>
      <c r="T9" s="57">
        <f>IF(T23&lt;6,"",COUNTIF(Engine!N1:N90,$Y$24))</f>
        <v>33</v>
      </c>
      <c r="U9" s="57">
        <f>IF(T23&lt;6,"",COUNTIF(Engine!N1:N90,$Y$25))</f>
        <v>17</v>
      </c>
      <c r="V9" s="57">
        <f>IF(T23&lt;6,"",COUNTIF(Engine!Q1:Q90,Y24))</f>
        <v>1</v>
      </c>
      <c r="W9" s="57">
        <f>IF(T23&lt;6,"",COUNTIF(Engine!Q1:Q90,Y25))</f>
        <v>1</v>
      </c>
      <c r="X9" s="57">
        <f>IF(T23&lt;6,"",T9/($V$22)*100)</f>
        <v>66</v>
      </c>
      <c r="Y9" s="57">
        <f>IF(T23&lt;6,"",100-X9)</f>
        <v>34</v>
      </c>
      <c r="Z9" s="57">
        <f>IF(T23&lt;6,"",V9/$V$23*100)</f>
        <v>2</v>
      </c>
      <c r="AA9" s="57">
        <f>IF(T23&lt;6,"",W9/$V$23*100)</f>
        <v>2</v>
      </c>
      <c r="AC9" s="57">
        <f t="shared" si="0"/>
        <v>33</v>
      </c>
      <c r="AD9" s="57">
        <f t="shared" si="0"/>
        <v>17</v>
      </c>
      <c r="AE9" s="57">
        <f t="shared" si="1"/>
        <v>66</v>
      </c>
      <c r="AF9" s="57">
        <f t="shared" si="1"/>
        <v>34</v>
      </c>
      <c r="AG9" s="57">
        <v>6</v>
      </c>
      <c r="AH9" s="57">
        <f>COUNTIF(Engine!AL$1:AL$90,AG9)</f>
        <v>0</v>
      </c>
      <c r="AI9" s="114" t="s">
        <v>91</v>
      </c>
    </row>
    <row r="10" spans="1:35" ht="14" customHeight="1" x14ac:dyDescent="0.35">
      <c r="B10" s="34"/>
      <c r="C10" s="47" t="s">
        <v>36</v>
      </c>
      <c r="D10" s="35"/>
      <c r="E10" s="122" t="s">
        <v>45</v>
      </c>
      <c r="F10" s="17"/>
      <c r="G10" s="26"/>
      <c r="H10" s="130"/>
      <c r="K10" s="27"/>
      <c r="L10" s="15"/>
      <c r="M10" s="97"/>
      <c r="N10" s="130"/>
      <c r="Q10" s="98"/>
      <c r="R10" s="131"/>
      <c r="S10" s="57">
        <v>5</v>
      </c>
      <c r="T10" s="57">
        <f>IF(T23&lt;5,"",COUNTIF(Engine!M1:M90,$X$24))</f>
        <v>47</v>
      </c>
      <c r="U10" s="57">
        <f>IF(T23&lt;5,"",COUNTIF(Engine!M1:M90,$X$25))</f>
        <v>3</v>
      </c>
      <c r="V10" s="57">
        <f>IF(T23&lt;5,"",COUNTIF(Engine!Q1:Q90,X24))</f>
        <v>9</v>
      </c>
      <c r="W10" s="57">
        <f>IF(T23&lt;5,"",COUNTIF(Engine!Q1:Q90,X25))</f>
        <v>0</v>
      </c>
      <c r="X10" s="57">
        <f>IF(T23&lt;5,"",T10/($V$22)*100)</f>
        <v>94</v>
      </c>
      <c r="Y10" s="57">
        <f>IF(T23&lt;5,"",100-X10)</f>
        <v>6</v>
      </c>
      <c r="Z10" s="57">
        <f>IF(T23&lt;5,"",V10/$V$23*100)</f>
        <v>18</v>
      </c>
      <c r="AA10" s="57">
        <f>IF(T23&lt;5,"",W10/$V$23*100)</f>
        <v>0</v>
      </c>
      <c r="AC10" s="57">
        <f t="shared" si="0"/>
        <v>47</v>
      </c>
      <c r="AD10" s="57">
        <f t="shared" si="0"/>
        <v>3</v>
      </c>
      <c r="AE10" s="57">
        <f t="shared" si="1"/>
        <v>94</v>
      </c>
      <c r="AF10" s="57">
        <f t="shared" si="1"/>
        <v>6</v>
      </c>
      <c r="AG10" s="57">
        <v>5</v>
      </c>
      <c r="AH10" s="57">
        <f>COUNTIF(Engine!AL$1:AL$90,AG10)</f>
        <v>9</v>
      </c>
      <c r="AI10" s="114" t="s">
        <v>51</v>
      </c>
    </row>
    <row r="11" spans="1:35" ht="12.75" customHeight="1" x14ac:dyDescent="0.35">
      <c r="B11" s="34"/>
      <c r="C11" s="47"/>
      <c r="D11" s="35"/>
      <c r="E11" s="35"/>
      <c r="F11" s="17"/>
      <c r="G11" s="26"/>
      <c r="H11" s="26"/>
      <c r="I11" s="26"/>
      <c r="J11" s="26"/>
      <c r="K11" s="27"/>
      <c r="L11" s="15"/>
      <c r="M11" s="102"/>
      <c r="N11" s="26"/>
      <c r="O11" s="26"/>
      <c r="P11" s="26"/>
      <c r="Q11" s="104"/>
      <c r="R11" s="131"/>
      <c r="S11" s="57">
        <v>4</v>
      </c>
      <c r="T11" s="57">
        <f>COUNTIF(Engine!L1:L90,$W24)</f>
        <v>9</v>
      </c>
      <c r="U11" s="57">
        <f>COUNTIF(Engine!L1:L90,$W$25)</f>
        <v>41</v>
      </c>
      <c r="V11" s="57">
        <f>COUNTIF(Engine!Q1:Q90,W24)</f>
        <v>0</v>
      </c>
      <c r="W11" s="57">
        <f>COUNTIF(Engine!Q1:Q90,W25)</f>
        <v>2</v>
      </c>
      <c r="X11" s="57">
        <f>T11/($V$22)*100</f>
        <v>18</v>
      </c>
      <c r="Y11" s="57">
        <f>100-X11</f>
        <v>82</v>
      </c>
      <c r="Z11" s="57">
        <f t="shared" ref="Z11:AA14" si="2">V11/$V$23*100</f>
        <v>0</v>
      </c>
      <c r="AA11" s="57">
        <f t="shared" si="2"/>
        <v>4</v>
      </c>
      <c r="AC11" s="57">
        <f t="shared" si="0"/>
        <v>9</v>
      </c>
      <c r="AD11" s="57">
        <f t="shared" si="0"/>
        <v>41</v>
      </c>
      <c r="AE11" s="57">
        <f t="shared" si="1"/>
        <v>18</v>
      </c>
      <c r="AF11" s="57">
        <f t="shared" si="1"/>
        <v>82</v>
      </c>
      <c r="AG11" s="57">
        <v>4</v>
      </c>
      <c r="AH11" s="57">
        <f>COUNTIF(Engine!AL$1:AL$90,AG11)</f>
        <v>15</v>
      </c>
      <c r="AI11" s="114" t="s">
        <v>101</v>
      </c>
    </row>
    <row r="12" spans="1:35" x14ac:dyDescent="0.35">
      <c r="B12" s="34"/>
      <c r="C12" s="132" t="s">
        <v>37</v>
      </c>
      <c r="D12" s="132"/>
      <c r="E12" s="132"/>
      <c r="F12" s="17"/>
      <c r="G12" s="15"/>
      <c r="I12" s="30"/>
      <c r="J12" s="30"/>
      <c r="K12" s="15"/>
      <c r="L12" s="15"/>
      <c r="M12" s="99"/>
      <c r="O12" s="30"/>
      <c r="P12" s="30"/>
      <c r="Q12" s="100"/>
      <c r="R12" s="131"/>
      <c r="S12" s="57">
        <v>3</v>
      </c>
      <c r="T12" s="57">
        <f>COUNTIF(Engine!K1:K90,$V$24)</f>
        <v>48</v>
      </c>
      <c r="U12" s="57">
        <f>COUNTIF(Engine!K1:K90,$V$25)</f>
        <v>2</v>
      </c>
      <c r="V12" s="57">
        <f>COUNTIF(Engine!Q1:Q90,V24)</f>
        <v>24</v>
      </c>
      <c r="W12" s="57">
        <f>COUNTIF(Engine!Q1:Q90,V25)</f>
        <v>0</v>
      </c>
      <c r="X12" s="57">
        <f>T12/($V$22)*100</f>
        <v>96</v>
      </c>
      <c r="Y12" s="57">
        <f>100-X12</f>
        <v>4</v>
      </c>
      <c r="Z12" s="57">
        <f t="shared" si="2"/>
        <v>48</v>
      </c>
      <c r="AA12" s="57">
        <f t="shared" si="2"/>
        <v>0</v>
      </c>
      <c r="AC12" s="57">
        <f t="shared" si="0"/>
        <v>48</v>
      </c>
      <c r="AD12" s="57">
        <f t="shared" si="0"/>
        <v>2</v>
      </c>
      <c r="AE12" s="57">
        <f t="shared" si="1"/>
        <v>96</v>
      </c>
      <c r="AF12" s="57">
        <f t="shared" si="1"/>
        <v>4</v>
      </c>
      <c r="AG12" s="57">
        <v>3</v>
      </c>
      <c r="AH12" s="57">
        <f>COUNTIF(Engine!AL$1:AL$90,AG12)</f>
        <v>2</v>
      </c>
      <c r="AI12" s="114" t="s">
        <v>94</v>
      </c>
    </row>
    <row r="13" spans="1:35" ht="12.75" customHeight="1" x14ac:dyDescent="0.35">
      <c r="B13" s="34"/>
      <c r="C13" s="47"/>
      <c r="D13" s="35"/>
      <c r="E13" s="35"/>
      <c r="F13" s="17"/>
      <c r="G13" s="32" t="str">
        <f>IF($AI$23=1,Data!Q4,"")</f>
        <v>Fri 6:00pm AEST</v>
      </c>
      <c r="H13" s="26"/>
      <c r="I13" s="26"/>
      <c r="J13" s="26"/>
      <c r="K13" s="27"/>
      <c r="L13" s="15"/>
      <c r="M13" s="96" t="str">
        <f>IF($AI$23=1,Data!Q8,"")</f>
        <v>Sat 7:30pm AEST</v>
      </c>
      <c r="N13" s="26"/>
      <c r="O13" s="26"/>
      <c r="P13" s="26"/>
      <c r="Q13" s="98"/>
      <c r="R13" s="131"/>
      <c r="S13" s="57">
        <v>2</v>
      </c>
      <c r="T13" s="57">
        <f>COUNTIF(Engine!J1:J90,$U$24)</f>
        <v>5</v>
      </c>
      <c r="U13" s="57">
        <f>COUNTIF(Engine!J1:J90,$U$25)</f>
        <v>45</v>
      </c>
      <c r="V13" s="57">
        <f>COUNTIF(Engine!Q1:Q90,U24)</f>
        <v>0</v>
      </c>
      <c r="W13" s="57">
        <f>COUNTIF(Engine!Q1:Q90,U25)</f>
        <v>5</v>
      </c>
      <c r="X13" s="57">
        <f>T13/($V$22)*100</f>
        <v>10</v>
      </c>
      <c r="Y13" s="57">
        <f>100-X13</f>
        <v>90</v>
      </c>
      <c r="Z13" s="57">
        <f t="shared" si="2"/>
        <v>0</v>
      </c>
      <c r="AA13" s="57">
        <f t="shared" si="2"/>
        <v>10</v>
      </c>
      <c r="AC13" s="57">
        <f t="shared" si="0"/>
        <v>5</v>
      </c>
      <c r="AD13" s="57">
        <f t="shared" si="0"/>
        <v>45</v>
      </c>
      <c r="AE13" s="57">
        <f t="shared" si="1"/>
        <v>10</v>
      </c>
      <c r="AF13" s="57">
        <f t="shared" si="1"/>
        <v>90</v>
      </c>
      <c r="AG13" s="57">
        <v>2</v>
      </c>
      <c r="AH13" s="57">
        <f>COUNTIF(Engine!AL$1:AL$90,AG13)</f>
        <v>0</v>
      </c>
      <c r="AI13" s="114" t="s">
        <v>95</v>
      </c>
    </row>
    <row r="14" spans="1:35" ht="12.75" customHeight="1" x14ac:dyDescent="0.35">
      <c r="B14" s="46" t="s">
        <v>19</v>
      </c>
      <c r="C14" s="45"/>
      <c r="D14" s="37"/>
      <c r="E14" s="35"/>
      <c r="F14" s="17"/>
      <c r="G14" s="26"/>
      <c r="H14" s="130"/>
      <c r="K14" s="27"/>
      <c r="L14" s="15"/>
      <c r="M14" s="96"/>
      <c r="N14" s="130"/>
      <c r="Q14" s="98"/>
      <c r="R14" s="4"/>
      <c r="S14" s="57">
        <v>1</v>
      </c>
      <c r="T14" s="57">
        <f>COUNTIF(Engine!I1:I90,$T$24)</f>
        <v>29</v>
      </c>
      <c r="U14" s="57">
        <f>COUNTIF(Engine!I1:I90,$T$25)</f>
        <v>21</v>
      </c>
      <c r="V14" s="57">
        <f>COUNTIF(Engine!Q1:Q90,T24)</f>
        <v>2</v>
      </c>
      <c r="W14" s="57">
        <f>COUNTIF(Engine!Q1:Q90,T25)</f>
        <v>1</v>
      </c>
      <c r="X14" s="57">
        <f>T14/($V$22)*100</f>
        <v>57.999999999999993</v>
      </c>
      <c r="Y14" s="57">
        <f>100-X14</f>
        <v>42.000000000000007</v>
      </c>
      <c r="Z14" s="57">
        <f t="shared" si="2"/>
        <v>4</v>
      </c>
      <c r="AA14" s="57">
        <f t="shared" si="2"/>
        <v>2</v>
      </c>
      <c r="AC14" s="57">
        <f t="shared" si="0"/>
        <v>29</v>
      </c>
      <c r="AD14" s="57">
        <f t="shared" si="0"/>
        <v>21</v>
      </c>
      <c r="AE14" s="57">
        <f t="shared" si="1"/>
        <v>57.999999999999993</v>
      </c>
      <c r="AF14" s="57">
        <f t="shared" si="1"/>
        <v>42.000000000000007</v>
      </c>
      <c r="AG14" s="57">
        <v>1</v>
      </c>
      <c r="AH14" s="57">
        <f>COUNTIF(Engine!AL$1:AL$90,AG14)</f>
        <v>0</v>
      </c>
      <c r="AI14" s="114" t="s">
        <v>96</v>
      </c>
    </row>
    <row r="15" spans="1:35" ht="12.75" customHeight="1" x14ac:dyDescent="0.35">
      <c r="B15" s="55"/>
      <c r="C15" s="44">
        <f>IF(T$23&gt;7,12,"")</f>
        <v>12</v>
      </c>
      <c r="D15" s="35"/>
      <c r="E15" s="35"/>
      <c r="F15" s="17"/>
      <c r="G15" s="26"/>
      <c r="H15" s="130"/>
      <c r="K15" s="29" t="str">
        <f>ROUND(AE13,1)&amp;"%"</f>
        <v>10%</v>
      </c>
      <c r="L15" s="15"/>
      <c r="M15" s="96"/>
      <c r="N15" s="130"/>
      <c r="O15" s="31"/>
      <c r="P15" s="31"/>
      <c r="Q15" s="98" t="str">
        <f>IF(T23&lt;6,"",ROUND(AE9,1)&amp;"%")</f>
        <v>66%</v>
      </c>
      <c r="R15" s="131"/>
      <c r="AG15" s="57">
        <v>0</v>
      </c>
      <c r="AH15" s="57">
        <f>COUNTIF(Engine!AL$1:AL$90,AG15)</f>
        <v>0</v>
      </c>
      <c r="AI15" s="114" t="s">
        <v>97</v>
      </c>
    </row>
    <row r="16" spans="1:35" ht="12.75" customHeight="1" x14ac:dyDescent="0.35">
      <c r="B16" s="55"/>
      <c r="C16" s="39" t="str">
        <f>IF(T$23=8,"",IF(T$23&gt;6,11,""))</f>
        <v/>
      </c>
      <c r="D16" s="37"/>
      <c r="E16" s="35"/>
      <c r="F16" s="17"/>
      <c r="G16" s="26"/>
      <c r="H16" s="130"/>
      <c r="K16" s="27"/>
      <c r="L16" s="15"/>
      <c r="M16" s="96"/>
      <c r="N16" s="130"/>
      <c r="O16" s="30"/>
      <c r="P16" s="30"/>
      <c r="Q16" s="98"/>
      <c r="R16" s="131"/>
      <c r="AG16" s="57">
        <v>-1</v>
      </c>
      <c r="AH16" s="57">
        <f>COUNTIF(Engine!AL$1:AL$90,AG16)</f>
        <v>0</v>
      </c>
      <c r="AI16" s="114" t="s">
        <v>98</v>
      </c>
    </row>
    <row r="17" spans="1:36" x14ac:dyDescent="0.35">
      <c r="B17" s="55"/>
      <c r="C17" s="44">
        <f>IF(T$23=7,"",IF(T$23&gt;5,10,""))</f>
        <v>10</v>
      </c>
      <c r="D17" s="35"/>
      <c r="E17" s="35"/>
      <c r="F17" s="17"/>
      <c r="G17" s="26"/>
      <c r="H17" s="133"/>
      <c r="K17" s="27"/>
      <c r="L17" s="15"/>
      <c r="M17" s="96"/>
      <c r="N17" s="133"/>
      <c r="Q17" s="98"/>
      <c r="R17" s="131"/>
      <c r="AG17" s="57">
        <v>-2</v>
      </c>
      <c r="AH17" s="57">
        <f>COUNTIF(Engine!AL$1:AL$90,AG17)</f>
        <v>0</v>
      </c>
      <c r="AI17" s="114" t="s">
        <v>99</v>
      </c>
    </row>
    <row r="18" spans="1:36" x14ac:dyDescent="0.35">
      <c r="B18" s="55"/>
      <c r="C18" s="39">
        <f>IF(T$23=6,"",IF(T$23&gt;4,9,""))</f>
        <v>9</v>
      </c>
      <c r="D18" s="37"/>
      <c r="E18" s="35"/>
      <c r="F18" s="17"/>
      <c r="G18" s="26"/>
      <c r="H18" s="133"/>
      <c r="K18" s="29" t="str">
        <f>ROUND(AF13,1)&amp;"%"</f>
        <v>90%</v>
      </c>
      <c r="L18" s="15"/>
      <c r="M18" s="96"/>
      <c r="N18" s="133"/>
      <c r="Q18" s="98" t="str">
        <f>IF(T23&lt;6,"",ROUND(AF9,1)&amp;"%")</f>
        <v>34%</v>
      </c>
      <c r="R18" s="131"/>
      <c r="AG18" s="57" t="s">
        <v>38</v>
      </c>
      <c r="AH18" s="57">
        <f>COUNTIF(Engine!AK1:AK90,2)</f>
        <v>1</v>
      </c>
    </row>
    <row r="19" spans="1:36" x14ac:dyDescent="0.35">
      <c r="B19" s="55"/>
      <c r="C19" s="44">
        <f>IF(T$23=5,"",IF(T$23&gt;3,8,""))</f>
        <v>8</v>
      </c>
      <c r="D19" s="35"/>
      <c r="E19" s="35"/>
      <c r="F19" s="17"/>
      <c r="G19" s="26"/>
      <c r="H19" s="133"/>
      <c r="K19" s="27"/>
      <c r="L19" s="15"/>
      <c r="M19" s="96"/>
      <c r="N19" s="133"/>
      <c r="Q19" s="98"/>
      <c r="R19" s="131"/>
      <c r="U19" s="57" t="s">
        <v>104</v>
      </c>
      <c r="V19" s="57">
        <f>30+T23</f>
        <v>38</v>
      </c>
      <c r="AG19" s="57" t="s">
        <v>39</v>
      </c>
      <c r="AH19" s="57">
        <f>V23-AH20-AH21</f>
        <v>50</v>
      </c>
    </row>
    <row r="20" spans="1:36" x14ac:dyDescent="0.35">
      <c r="B20" s="55"/>
      <c r="C20" s="39">
        <f>IF(T$23=4,"",IF(T$23&gt;2,7,""))</f>
        <v>7</v>
      </c>
      <c r="D20" s="37"/>
      <c r="E20" s="35"/>
      <c r="F20" s="17"/>
      <c r="G20" s="26"/>
      <c r="H20" s="26"/>
      <c r="I20" s="26"/>
      <c r="J20" s="26"/>
      <c r="K20" s="27"/>
      <c r="L20" s="15"/>
      <c r="M20" s="103"/>
      <c r="N20" s="26"/>
      <c r="O20" s="26"/>
      <c r="P20" s="26"/>
      <c r="Q20" s="104"/>
      <c r="R20" s="131"/>
      <c r="U20" s="57" t="s">
        <v>103</v>
      </c>
      <c r="V20" s="57" t="str">
        <f>"E31:E"&amp;V19</f>
        <v>E31:E38</v>
      </c>
      <c r="AG20" s="57" t="s">
        <v>40</v>
      </c>
      <c r="AH20" s="57">
        <f>COUNTIF(AF28:AF207,2)</f>
        <v>0</v>
      </c>
    </row>
    <row r="21" spans="1:36" x14ac:dyDescent="0.35">
      <c r="B21" s="56"/>
      <c r="C21" s="41">
        <v>6</v>
      </c>
      <c r="D21" s="33"/>
      <c r="E21" s="33"/>
      <c r="F21" s="17"/>
      <c r="G21" s="15"/>
      <c r="K21" s="15"/>
      <c r="L21" s="31"/>
      <c r="M21" s="99"/>
      <c r="Q21" s="100"/>
      <c r="R21" s="4"/>
      <c r="U21" s="57" t="s">
        <v>41</v>
      </c>
      <c r="V21" s="57">
        <f>Data!S5</f>
        <v>50</v>
      </c>
      <c r="AG21" s="57" t="s">
        <v>42</v>
      </c>
      <c r="AH21" s="57">
        <f>COUNTIF(AF28:AF207,-2)</f>
        <v>0</v>
      </c>
    </row>
    <row r="22" spans="1:36" x14ac:dyDescent="0.35">
      <c r="B22" s="55"/>
      <c r="C22" s="43">
        <v>5</v>
      </c>
      <c r="D22" s="42"/>
      <c r="E22" s="17"/>
      <c r="F22" s="17"/>
      <c r="G22" s="32" t="str">
        <f>IF($AI$23=1,Data!Q5,"")</f>
        <v>Fri 8:00pm AEST</v>
      </c>
      <c r="H22" s="26"/>
      <c r="I22" s="26"/>
      <c r="J22" s="26"/>
      <c r="K22" s="27"/>
      <c r="L22" s="31"/>
      <c r="M22" s="96" t="str">
        <f>IF(T23=6,"",IF($AI$23=1,Data!Q9,""))</f>
        <v>Sun 4:05pm AEST</v>
      </c>
      <c r="N22" s="26"/>
      <c r="O22" s="26"/>
      <c r="P22" s="26"/>
      <c r="Q22" s="98"/>
      <c r="R22" s="131"/>
      <c r="T22" s="57" t="s">
        <v>43</v>
      </c>
      <c r="U22" s="57" t="s">
        <v>44</v>
      </c>
      <c r="V22" s="57">
        <f>Data!S6</f>
        <v>50</v>
      </c>
      <c r="W22" s="57" t="s">
        <v>45</v>
      </c>
      <c r="X22" s="57" t="s">
        <v>46</v>
      </c>
      <c r="Y22" s="57">
        <f>Data!R3</f>
        <v>3</v>
      </c>
    </row>
    <row r="23" spans="1:36" x14ac:dyDescent="0.35">
      <c r="B23" s="55"/>
      <c r="C23" s="41">
        <v>4</v>
      </c>
      <c r="D23" s="17"/>
      <c r="E23" s="17"/>
      <c r="F23" s="17"/>
      <c r="G23" s="26"/>
      <c r="H23" s="130"/>
      <c r="K23" s="27"/>
      <c r="L23" s="15"/>
      <c r="M23" s="96"/>
      <c r="N23" s="134"/>
      <c r="Q23" s="98"/>
      <c r="R23" s="131"/>
      <c r="T23" s="57">
        <f>Data!S3</f>
        <v>8</v>
      </c>
      <c r="U23" s="57" t="s">
        <v>47</v>
      </c>
      <c r="V23" s="57">
        <f>Data!S7</f>
        <v>50</v>
      </c>
      <c r="W23" s="57" t="s">
        <v>48</v>
      </c>
      <c r="AH23" s="57" t="s">
        <v>49</v>
      </c>
      <c r="AI23" s="121">
        <f>IF(E10=W23,2,1)</f>
        <v>1</v>
      </c>
    </row>
    <row r="24" spans="1:36" x14ac:dyDescent="0.35">
      <c r="B24" s="55"/>
      <c r="C24" s="43">
        <v>3</v>
      </c>
      <c r="D24" s="42"/>
      <c r="E24" s="17"/>
      <c r="F24" s="17"/>
      <c r="G24" s="26"/>
      <c r="H24" s="130"/>
      <c r="I24" s="31"/>
      <c r="J24" s="31"/>
      <c r="K24" s="29" t="str">
        <f>ROUND(AE12,1)&amp;"%"</f>
        <v>96%</v>
      </c>
      <c r="L24" s="15"/>
      <c r="M24" s="96"/>
      <c r="N24" s="134"/>
      <c r="O24" s="31"/>
      <c r="P24" s="31"/>
      <c r="Q24" s="98" t="str">
        <f>IF(T23&lt;7,"",ROUND(AE8,1)&amp;"%")</f>
        <v>82%</v>
      </c>
      <c r="R24" s="131"/>
      <c r="T24" s="57" t="str">
        <f>Data!$O3</f>
        <v>Raiders</v>
      </c>
      <c r="U24" s="57" t="str">
        <f>Data!$O4</f>
        <v>Roosters</v>
      </c>
      <c r="V24" s="57" t="str">
        <f>Data!$O5</f>
        <v>Storm</v>
      </c>
      <c r="W24" s="57" t="str">
        <f>Data!$O6</f>
        <v>Knights</v>
      </c>
      <c r="X24" s="57" t="str">
        <f>Data!$O7</f>
        <v>Sharks</v>
      </c>
      <c r="Y24" s="57" t="str">
        <f>Data!$O8</f>
        <v>Rabbitohs</v>
      </c>
      <c r="Z24" s="57" t="str">
        <f>Data!$O9</f>
        <v>Eels</v>
      </c>
      <c r="AA24" s="57" t="str">
        <f>Data!$O10</f>
        <v>Cowboys</v>
      </c>
    </row>
    <row r="25" spans="1:36" x14ac:dyDescent="0.35">
      <c r="B25" s="55"/>
      <c r="C25" s="41">
        <v>2</v>
      </c>
      <c r="D25" s="17"/>
      <c r="E25" s="17"/>
      <c r="F25" s="17"/>
      <c r="G25" s="26"/>
      <c r="H25" s="130"/>
      <c r="I25" s="30"/>
      <c r="J25" s="30"/>
      <c r="K25" s="40"/>
      <c r="L25" s="15"/>
      <c r="M25" s="96"/>
      <c r="N25" s="134"/>
      <c r="O25" s="30"/>
      <c r="P25" s="30"/>
      <c r="Q25" s="98"/>
      <c r="R25" s="131"/>
      <c r="T25" s="57" t="str">
        <f>Data!$P3</f>
        <v>Bulldogs</v>
      </c>
      <c r="U25" s="57" t="str">
        <f>Data!$P4</f>
        <v>Panthers</v>
      </c>
      <c r="V25" s="57" t="str">
        <f>Data!$P5</f>
        <v>Broncos</v>
      </c>
      <c r="W25" s="57" t="str">
        <f>Data!$P6</f>
        <v>Warriors</v>
      </c>
      <c r="X25" s="57" t="str">
        <f>Data!$P7</f>
        <v>Dolphins</v>
      </c>
      <c r="Y25" s="57" t="str">
        <f>Data!$P8</f>
        <v>Wests Tigers</v>
      </c>
      <c r="Z25" s="57" t="str">
        <f>Data!$P9</f>
        <v>Dragons</v>
      </c>
      <c r="AA25" s="57" t="str">
        <f>Data!$P10</f>
        <v>Titans</v>
      </c>
    </row>
    <row r="26" spans="1:36" x14ac:dyDescent="0.35">
      <c r="B26" s="55"/>
      <c r="C26" s="39">
        <v>1</v>
      </c>
      <c r="D26" s="37"/>
      <c r="E26" s="35"/>
      <c r="F26" s="17"/>
      <c r="G26" s="26"/>
      <c r="H26" s="148"/>
      <c r="K26" s="27"/>
      <c r="L26" s="15"/>
      <c r="M26" s="96"/>
      <c r="N26" s="130"/>
      <c r="Q26" s="98"/>
      <c r="R26" s="131"/>
      <c r="T26" s="57" t="str">
        <f>Data!Q3</f>
        <v>Thu 8:00pm AEST</v>
      </c>
      <c r="U26" s="57" t="str">
        <f>Data!Q4</f>
        <v>Fri 6:00pm AEST</v>
      </c>
      <c r="V26" s="57" t="str">
        <f>Data!Q5</f>
        <v>Fri 8:00pm AEST</v>
      </c>
      <c r="W26" s="57" t="str">
        <f>Data!Q6</f>
        <v>Sat 3:00pm AEST</v>
      </c>
      <c r="X26" s="57" t="str">
        <f>Data!Q7</f>
        <v>Sat 5:30pm AEST</v>
      </c>
      <c r="Y26" s="57" t="str">
        <f>Data!Q8</f>
        <v>Sat 7:30pm AEST</v>
      </c>
      <c r="Z26" s="57" t="str">
        <f>Data!Q9</f>
        <v>Sun 4:05pm AEST</v>
      </c>
      <c r="AA26" s="57" t="str">
        <f>Data!Q10</f>
        <v>Sun 6:15pm AEST</v>
      </c>
    </row>
    <row r="27" spans="1:36" x14ac:dyDescent="0.35">
      <c r="B27" s="55"/>
      <c r="C27" s="36">
        <v>0</v>
      </c>
      <c r="D27" s="35"/>
      <c r="E27" s="35"/>
      <c r="F27" s="17"/>
      <c r="G27" s="26"/>
      <c r="H27" s="148"/>
      <c r="K27" s="29" t="str">
        <f>ROUND(AF12,1)&amp;"%"</f>
        <v>4%</v>
      </c>
      <c r="L27" s="15"/>
      <c r="M27" s="96"/>
      <c r="N27" s="130"/>
      <c r="Q27" s="98" t="str">
        <f>IF(T23&lt;7,"",ROUND(AF8,1)&amp;"%")</f>
        <v>18%</v>
      </c>
      <c r="R27" s="131"/>
      <c r="S27" s="57" t="s">
        <v>50</v>
      </c>
      <c r="T27" s="57">
        <v>1</v>
      </c>
      <c r="U27" s="57">
        <v>2</v>
      </c>
      <c r="V27" s="57">
        <v>3</v>
      </c>
      <c r="W27" s="57">
        <v>4</v>
      </c>
      <c r="X27" s="57">
        <v>5</v>
      </c>
      <c r="Y27" s="57">
        <v>6</v>
      </c>
      <c r="Z27" s="57">
        <v>7</v>
      </c>
      <c r="AA27" s="57">
        <v>8</v>
      </c>
      <c r="AB27" s="105" t="s">
        <v>51</v>
      </c>
      <c r="AI27" s="114" t="s">
        <v>52</v>
      </c>
      <c r="AJ27" s="57" t="s">
        <v>53</v>
      </c>
    </row>
    <row r="28" spans="1:36" x14ac:dyDescent="0.35">
      <c r="B28" s="56"/>
      <c r="C28" s="38">
        <v>-1</v>
      </c>
      <c r="D28" s="37"/>
      <c r="E28" s="35"/>
      <c r="F28" s="17"/>
      <c r="G28" s="26"/>
      <c r="H28" s="148"/>
      <c r="K28" s="27"/>
      <c r="L28" s="15"/>
      <c r="M28" s="96"/>
      <c r="N28" s="130"/>
      <c r="Q28" s="96"/>
      <c r="R28" s="4"/>
      <c r="AB28" s="105" t="s">
        <v>84</v>
      </c>
      <c r="AI28" s="114">
        <f>IF(T$23-AG28=AE28,2,0)</f>
        <v>0</v>
      </c>
      <c r="AJ28" s="57" t="str">
        <f>IF(S28="Y",SUM(AE28:AI28),"")</f>
        <v/>
      </c>
    </row>
    <row r="29" spans="1:36" x14ac:dyDescent="0.35">
      <c r="B29" s="55"/>
      <c r="C29" s="36">
        <v>-2</v>
      </c>
      <c r="D29" s="35"/>
      <c r="E29" s="35"/>
      <c r="F29" s="17"/>
      <c r="G29" s="26"/>
      <c r="H29" s="26"/>
      <c r="I29" s="26"/>
      <c r="J29" s="26"/>
      <c r="K29" s="27"/>
      <c r="L29" s="15"/>
      <c r="M29" s="103"/>
      <c r="N29" s="26"/>
      <c r="O29" s="26"/>
      <c r="P29" s="26"/>
      <c r="Q29" s="103"/>
      <c r="R29" s="131"/>
      <c r="AB29" s="105" t="s">
        <v>84</v>
      </c>
    </row>
    <row r="30" spans="1:36" x14ac:dyDescent="0.35">
      <c r="B30" s="34"/>
      <c r="C30" s="18"/>
      <c r="D30" s="17"/>
      <c r="E30" s="33"/>
      <c r="F30" s="17"/>
      <c r="G30" s="15"/>
      <c r="K30" s="15"/>
      <c r="L30" s="15"/>
      <c r="M30" s="99"/>
      <c r="Q30" s="99"/>
      <c r="R30" s="131"/>
      <c r="AB30" s="105" t="s">
        <v>84</v>
      </c>
    </row>
    <row r="31" spans="1:36" x14ac:dyDescent="0.35">
      <c r="A31" s="53"/>
      <c r="B31" s="55">
        <v>1</v>
      </c>
      <c r="C31" s="135" t="s">
        <v>54</v>
      </c>
      <c r="D31" s="136"/>
      <c r="E31" s="28" t="s">
        <v>131</v>
      </c>
      <c r="F31" s="17"/>
      <c r="G31" s="32" t="str">
        <f>IF($AI$23=1,Data!Q6,"")</f>
        <v>Sat 3:00pm AEST</v>
      </c>
      <c r="H31" s="26"/>
      <c r="I31" s="26"/>
      <c r="J31" s="26"/>
      <c r="K31" s="27"/>
      <c r="L31" s="15"/>
      <c r="M31" s="96" t="str">
        <f>IF(T23=6,"",IF($AI$23=1,Data!Q10,""))</f>
        <v>Sun 6:15pm AEST</v>
      </c>
      <c r="N31" s="26"/>
      <c r="O31" s="26"/>
      <c r="P31" s="26"/>
      <c r="Q31" s="97"/>
      <c r="R31" s="131"/>
    </row>
    <row r="32" spans="1:36" x14ac:dyDescent="0.35">
      <c r="A32" s="53"/>
      <c r="B32" s="55">
        <v>2</v>
      </c>
      <c r="C32" s="135" t="s">
        <v>55</v>
      </c>
      <c r="D32" s="136"/>
      <c r="E32" s="28" t="s">
        <v>121</v>
      </c>
      <c r="F32" s="17"/>
      <c r="G32" s="26"/>
      <c r="H32" s="133"/>
      <c r="K32" s="27"/>
      <c r="L32" s="15"/>
      <c r="M32" s="97"/>
      <c r="N32" s="130"/>
      <c r="Q32" s="97"/>
      <c r="R32" s="131"/>
    </row>
    <row r="33" spans="1:253" x14ac:dyDescent="0.35">
      <c r="A33" s="53"/>
      <c r="B33" s="55">
        <v>3</v>
      </c>
      <c r="C33" s="135" t="s">
        <v>56</v>
      </c>
      <c r="D33" s="136"/>
      <c r="E33" s="28" t="s">
        <v>124</v>
      </c>
      <c r="F33" s="17"/>
      <c r="G33" s="26"/>
      <c r="H33" s="133"/>
      <c r="K33" s="29" t="str">
        <f>ROUND(AE11,1)&amp;"%"</f>
        <v>18%</v>
      </c>
      <c r="L33" s="15"/>
      <c r="M33" s="97"/>
      <c r="N33" s="130"/>
      <c r="O33" s="31"/>
      <c r="P33" s="31"/>
      <c r="Q33" s="101" t="str">
        <f>IF(T23&lt;8,"",ROUND(AE7,1)&amp;"%")</f>
        <v>84%</v>
      </c>
      <c r="R33" s="131"/>
    </row>
    <row r="34" spans="1:253" x14ac:dyDescent="0.35">
      <c r="A34" s="53"/>
      <c r="B34" s="55">
        <v>4</v>
      </c>
      <c r="C34" s="135" t="s">
        <v>57</v>
      </c>
      <c r="D34" s="136"/>
      <c r="E34" s="28"/>
      <c r="F34" s="17"/>
      <c r="G34" s="26"/>
      <c r="H34" s="133"/>
      <c r="K34" s="27"/>
      <c r="M34" s="97"/>
      <c r="N34" s="130"/>
      <c r="O34" s="30"/>
      <c r="P34" s="30"/>
      <c r="Q34" s="97"/>
      <c r="R34" s="131"/>
    </row>
    <row r="35" spans="1:253" x14ac:dyDescent="0.35">
      <c r="A35" s="53"/>
      <c r="B35" s="55">
        <v>5</v>
      </c>
      <c r="C35" s="135" t="str">
        <f>IF(T23&lt;5,"","Select Winner - Game 5:")</f>
        <v>Select Winner - Game 5:</v>
      </c>
      <c r="D35" s="135"/>
      <c r="E35" s="28"/>
      <c r="F35" s="17"/>
      <c r="G35" s="26"/>
      <c r="H35" s="133"/>
      <c r="K35" s="27"/>
      <c r="M35" s="97"/>
      <c r="N35" s="130"/>
      <c r="Q35" s="97"/>
      <c r="R35" s="4"/>
    </row>
    <row r="36" spans="1:253" x14ac:dyDescent="0.35">
      <c r="A36" s="53"/>
      <c r="B36" s="55">
        <v>6</v>
      </c>
      <c r="C36" s="135" t="str">
        <f>IF(T23&lt;6,"","Select Winner - Game 6:")</f>
        <v>Select Winner - Game 6:</v>
      </c>
      <c r="D36" s="135"/>
      <c r="E36" s="28"/>
      <c r="F36" s="17"/>
      <c r="G36" s="26"/>
      <c r="H36" s="133"/>
      <c r="K36" s="29" t="str">
        <f>ROUND(AF11,1)&amp;"%"</f>
        <v>82%</v>
      </c>
      <c r="M36" s="97"/>
      <c r="N36" s="130"/>
      <c r="Q36" s="101" t="str">
        <f>IF(T23&lt;8,"",ROUND(AF7,1)&amp;"%")</f>
        <v>16%</v>
      </c>
      <c r="R36" s="131"/>
    </row>
    <row r="37" spans="1:253" x14ac:dyDescent="0.35">
      <c r="A37" s="53"/>
      <c r="B37" s="55">
        <v>7</v>
      </c>
      <c r="C37" s="135" t="str">
        <f>IF(T23&lt;7,"","Select Winner - Game 7:")</f>
        <v>Select Winner - Game 7:</v>
      </c>
      <c r="D37" s="135"/>
      <c r="E37" s="28"/>
      <c r="F37" s="17"/>
      <c r="G37" s="26"/>
      <c r="H37" s="133"/>
      <c r="K37" s="27"/>
      <c r="M37" s="97"/>
      <c r="N37" s="130"/>
      <c r="Q37" s="97"/>
      <c r="R37" s="131"/>
    </row>
    <row r="38" spans="1:253" x14ac:dyDescent="0.35">
      <c r="A38" s="53"/>
      <c r="B38" s="55">
        <v>8</v>
      </c>
      <c r="C38" s="135" t="str">
        <f>IF(T23&lt;8,"","Select Winner - Game 8:")</f>
        <v>Select Winner - Game 8:</v>
      </c>
      <c r="D38" s="135"/>
      <c r="E38" s="28"/>
      <c r="F38" s="17"/>
      <c r="G38" s="26"/>
      <c r="H38" s="27"/>
      <c r="I38" s="27"/>
      <c r="J38" s="27"/>
      <c r="K38" s="27"/>
      <c r="M38" s="97"/>
      <c r="N38" s="97"/>
      <c r="O38" s="97"/>
      <c r="P38" s="97"/>
      <c r="Q38" s="97"/>
      <c r="R38" s="131"/>
    </row>
    <row r="39" spans="1:253" x14ac:dyDescent="0.35">
      <c r="B39" s="25"/>
      <c r="F39" s="17"/>
      <c r="R39" s="131"/>
    </row>
    <row r="40" spans="1:253" x14ac:dyDescent="0.35">
      <c r="B40" s="25"/>
      <c r="F40" s="17"/>
      <c r="R40" s="131"/>
    </row>
    <row r="41" spans="1:253" ht="15" thickBot="1" x14ac:dyDescent="0.4">
      <c r="B41" s="24"/>
      <c r="C41" s="22"/>
      <c r="D41" s="21"/>
      <c r="E41" s="21"/>
      <c r="F41" s="23"/>
      <c r="G41" s="21"/>
      <c r="H41" s="21"/>
      <c r="I41" s="21"/>
      <c r="J41" s="21"/>
      <c r="K41" s="21"/>
      <c r="L41" s="21"/>
      <c r="M41" s="22"/>
      <c r="N41" s="21"/>
      <c r="O41" s="21"/>
      <c r="P41" s="21"/>
      <c r="Q41" s="95"/>
      <c r="R41" s="137"/>
    </row>
    <row r="42" spans="1:253" s="14" customFormat="1" x14ac:dyDescent="0.35">
      <c r="C42" s="115"/>
      <c r="M42" s="115"/>
      <c r="Q42" s="116"/>
      <c r="R42" s="117"/>
      <c r="S42" s="57"/>
      <c r="T42" s="57"/>
      <c r="U42" s="57"/>
      <c r="V42" s="57"/>
      <c r="W42" s="57"/>
      <c r="X42" s="57"/>
      <c r="Y42" s="57"/>
      <c r="Z42" s="57"/>
      <c r="AA42" s="57"/>
      <c r="AB42" s="105"/>
      <c r="AC42" s="57"/>
      <c r="AD42" s="57"/>
      <c r="AE42" s="57"/>
      <c r="AF42" s="57"/>
      <c r="AG42" s="57"/>
      <c r="AH42" s="57"/>
      <c r="AI42" s="114"/>
      <c r="AJ42" s="57"/>
      <c r="AO42" s="13"/>
      <c r="AP42" s="13"/>
      <c r="AQ42" s="13"/>
    </row>
    <row r="43" spans="1:253" s="53" customFormat="1" x14ac:dyDescent="0.35">
      <c r="C43" s="20" t="str">
        <f>T24</f>
        <v>Raiders</v>
      </c>
      <c r="D43" s="20" t="str">
        <f t="shared" ref="D43:F43" si="3">U24</f>
        <v>Roosters</v>
      </c>
      <c r="E43" s="20" t="str">
        <f t="shared" si="3"/>
        <v>Storm</v>
      </c>
      <c r="F43" s="20" t="str">
        <f t="shared" si="3"/>
        <v>Knights</v>
      </c>
      <c r="G43" s="20" t="str">
        <f>IF($T$23&gt;4,X24,"")</f>
        <v>Sharks</v>
      </c>
      <c r="H43" s="20" t="str">
        <f>IF($T$23&gt;5,Y24,"")</f>
        <v>Rabbitohs</v>
      </c>
      <c r="I43" s="20" t="str">
        <f>IF($T$23&gt;6,Z24,"")</f>
        <v>Eels</v>
      </c>
      <c r="J43" s="20" t="str">
        <f>IF($T$23&gt;7,AA24,"")</f>
        <v>Cowboys</v>
      </c>
      <c r="M43" s="20"/>
      <c r="Q43" s="113"/>
      <c r="R43" s="138"/>
      <c r="S43" s="57"/>
      <c r="T43" s="57"/>
      <c r="U43" s="57"/>
      <c r="V43" s="57"/>
      <c r="W43" s="57"/>
      <c r="X43" s="57"/>
      <c r="Y43" s="57"/>
      <c r="Z43" s="57"/>
      <c r="AA43" s="57"/>
      <c r="AB43" s="105"/>
      <c r="AC43" s="57"/>
      <c r="AD43" s="57"/>
      <c r="AE43" s="57"/>
      <c r="AF43" s="57"/>
      <c r="AG43" s="57"/>
      <c r="AH43" s="57"/>
      <c r="AI43" s="114"/>
      <c r="AJ43" s="57"/>
      <c r="AO43" s="54"/>
      <c r="AP43" s="54"/>
      <c r="AQ43" s="54"/>
    </row>
    <row r="44" spans="1:253" s="53" customFormat="1" x14ac:dyDescent="0.35">
      <c r="C44" s="20" t="str">
        <f t="shared" ref="C44:F44" si="4">T25</f>
        <v>Bulldogs</v>
      </c>
      <c r="D44" s="20" t="str">
        <f t="shared" si="4"/>
        <v>Panthers</v>
      </c>
      <c r="E44" s="20" t="str">
        <f t="shared" si="4"/>
        <v>Broncos</v>
      </c>
      <c r="F44" s="20" t="str">
        <f t="shared" si="4"/>
        <v>Warriors</v>
      </c>
      <c r="G44" s="20" t="str">
        <f t="shared" ref="G44" si="5">IF($T$23&gt;4,X25,"")</f>
        <v>Dolphins</v>
      </c>
      <c r="H44" s="20" t="str">
        <f t="shared" ref="H44" si="6">IF($T$23&gt;5,Y25,"")</f>
        <v>Wests Tigers</v>
      </c>
      <c r="I44" s="20" t="str">
        <f t="shared" ref="I44" si="7">IF($T$23&gt;6,Z25,"")</f>
        <v>Dragons</v>
      </c>
      <c r="J44" s="20" t="str">
        <f t="shared" ref="J44" si="8">IF($T$23&gt;7,AA25,"")</f>
        <v>Titans</v>
      </c>
      <c r="M44" s="20"/>
      <c r="Q44" s="113"/>
      <c r="R44" s="138"/>
      <c r="S44" s="57"/>
      <c r="T44" s="57"/>
      <c r="U44" s="57"/>
      <c r="V44" s="57"/>
      <c r="W44" s="57"/>
      <c r="X44" s="57"/>
      <c r="Y44" s="57"/>
      <c r="Z44" s="57"/>
      <c r="AA44" s="57"/>
      <c r="AB44" s="105"/>
      <c r="AC44" s="57"/>
      <c r="AD44" s="57"/>
      <c r="AE44" s="57"/>
      <c r="AF44" s="57"/>
      <c r="AG44" s="57"/>
      <c r="AH44" s="57"/>
      <c r="AI44" s="114"/>
      <c r="AJ44" s="57"/>
      <c r="AO44" s="54"/>
      <c r="AP44" s="54"/>
      <c r="AQ44" s="54"/>
    </row>
    <row r="45" spans="1:253" s="53" customFormat="1" x14ac:dyDescent="0.35">
      <c r="C45" s="20" t="s">
        <v>76</v>
      </c>
      <c r="D45" s="20" t="s">
        <v>76</v>
      </c>
      <c r="E45" s="20" t="s">
        <v>76</v>
      </c>
      <c r="F45" s="20" t="str">
        <f>IF($T$23&gt;3,"Draw","")</f>
        <v>Draw</v>
      </c>
      <c r="G45" s="20" t="str">
        <f>IF($T$23&gt;4,"Draw","")</f>
        <v>Draw</v>
      </c>
      <c r="H45" s="20" t="str">
        <f>IF($T$23&gt;5,"Draw","")</f>
        <v>Draw</v>
      </c>
      <c r="I45" s="20" t="str">
        <f>IF($T$23&gt;6,"Draw","")</f>
        <v>Draw</v>
      </c>
      <c r="J45" s="20" t="str">
        <f>IF($T$23&gt;7,"Draw","")</f>
        <v>Draw</v>
      </c>
      <c r="M45" s="20"/>
      <c r="Q45" s="113"/>
      <c r="R45" s="138"/>
      <c r="S45" s="57"/>
      <c r="T45" s="57"/>
      <c r="U45" s="57"/>
      <c r="V45" s="57"/>
      <c r="W45" s="57"/>
      <c r="X45" s="57"/>
      <c r="Y45" s="57"/>
      <c r="Z45" s="57"/>
      <c r="AA45" s="57"/>
      <c r="AB45" s="105"/>
      <c r="AC45" s="57"/>
      <c r="AD45" s="57"/>
      <c r="AE45" s="57"/>
      <c r="AF45" s="57"/>
      <c r="AG45" s="57"/>
      <c r="AH45" s="57"/>
      <c r="AI45" s="114"/>
      <c r="AJ45" s="57"/>
      <c r="AO45" s="54"/>
      <c r="AP45" s="54"/>
      <c r="AQ45" s="54"/>
      <c r="IS45" s="20"/>
    </row>
    <row r="46" spans="1:253" s="14" customFormat="1" x14ac:dyDescent="0.35">
      <c r="C46" s="115"/>
      <c r="D46" s="118"/>
      <c r="E46" s="118"/>
      <c r="F46" s="112"/>
      <c r="G46" s="112"/>
      <c r="M46" s="115"/>
      <c r="Q46" s="116"/>
      <c r="R46" s="139"/>
      <c r="S46" s="57"/>
      <c r="T46" s="57"/>
      <c r="U46" s="57"/>
      <c r="V46" s="57"/>
      <c r="W46" s="57"/>
      <c r="X46" s="57"/>
      <c r="Y46" s="57"/>
      <c r="Z46" s="57"/>
      <c r="AA46" s="57"/>
      <c r="AB46" s="105"/>
      <c r="AC46" s="57"/>
      <c r="AD46" s="57"/>
      <c r="AE46" s="57"/>
      <c r="AF46" s="57"/>
      <c r="AG46" s="57"/>
      <c r="AH46" s="57"/>
      <c r="AI46" s="114"/>
      <c r="AJ46" s="57"/>
      <c r="AO46" s="13"/>
      <c r="AP46" s="13"/>
      <c r="AQ46" s="13"/>
    </row>
    <row r="47" spans="1:253" s="14" customFormat="1" x14ac:dyDescent="0.35">
      <c r="C47" s="115"/>
      <c r="D47" s="119"/>
      <c r="E47" s="112"/>
      <c r="F47" s="112"/>
      <c r="G47" s="112"/>
      <c r="M47" s="115"/>
      <c r="Q47" s="116"/>
      <c r="R47" s="139"/>
      <c r="S47" s="57"/>
      <c r="T47" s="57"/>
      <c r="U47" s="57"/>
      <c r="V47" s="57"/>
      <c r="W47" s="57"/>
      <c r="X47" s="57"/>
      <c r="Y47" s="57"/>
      <c r="Z47" s="57"/>
      <c r="AA47" s="57"/>
      <c r="AB47" s="105"/>
      <c r="AC47" s="57"/>
      <c r="AD47" s="57"/>
      <c r="AE47" s="57"/>
      <c r="AF47" s="57"/>
      <c r="AG47" s="57"/>
      <c r="AH47" s="57"/>
      <c r="AI47" s="114"/>
      <c r="AJ47" s="57"/>
      <c r="AO47" s="13"/>
      <c r="AP47" s="13"/>
      <c r="AQ47" s="13"/>
    </row>
    <row r="48" spans="1:253" s="14" customFormat="1" x14ac:dyDescent="0.35">
      <c r="D48" s="119"/>
      <c r="E48" s="112"/>
      <c r="F48" s="112"/>
      <c r="G48" s="112"/>
      <c r="M48" s="115"/>
      <c r="Q48" s="116"/>
      <c r="R48" s="139"/>
      <c r="S48" s="57"/>
      <c r="T48" s="57"/>
      <c r="U48" s="57"/>
      <c r="V48" s="57"/>
      <c r="W48" s="57"/>
      <c r="X48" s="57"/>
      <c r="Y48" s="57"/>
      <c r="Z48" s="57"/>
      <c r="AA48" s="57"/>
      <c r="AB48" s="105"/>
      <c r="AC48" s="57"/>
      <c r="AD48" s="57"/>
      <c r="AE48" s="57"/>
      <c r="AF48" s="57"/>
      <c r="AG48" s="57"/>
      <c r="AH48" s="57"/>
      <c r="AI48" s="114"/>
      <c r="AJ48" s="57"/>
      <c r="AO48" s="13"/>
      <c r="AP48" s="13"/>
      <c r="AQ48" s="13"/>
    </row>
    <row r="49" spans="2:43" s="14" customFormat="1" x14ac:dyDescent="0.35">
      <c r="C49" s="115"/>
      <c r="D49" s="120"/>
      <c r="E49" s="112"/>
      <c r="F49" s="112"/>
      <c r="G49" s="112"/>
      <c r="M49" s="115"/>
      <c r="Q49" s="116"/>
      <c r="R49" s="117"/>
      <c r="S49" s="57"/>
      <c r="T49" s="57"/>
      <c r="U49" s="57"/>
      <c r="V49" s="57"/>
      <c r="W49" s="57"/>
      <c r="X49" s="57"/>
      <c r="Y49" s="57"/>
      <c r="Z49" s="57"/>
      <c r="AA49" s="57"/>
      <c r="AB49" s="105"/>
      <c r="AC49" s="57"/>
      <c r="AD49" s="57"/>
      <c r="AE49" s="57"/>
      <c r="AF49" s="57"/>
      <c r="AG49" s="57"/>
      <c r="AH49" s="57"/>
      <c r="AI49" s="114"/>
      <c r="AJ49" s="57"/>
      <c r="AO49" s="13"/>
      <c r="AP49" s="13"/>
      <c r="AQ49" s="13"/>
    </row>
    <row r="50" spans="2:43" s="14" customFormat="1" x14ac:dyDescent="0.35">
      <c r="B50" s="116"/>
      <c r="C50" s="115"/>
      <c r="D50" s="120"/>
      <c r="E50" s="112"/>
      <c r="F50" s="112"/>
      <c r="G50" s="112"/>
      <c r="M50" s="115"/>
      <c r="Q50" s="116"/>
      <c r="R50" s="139"/>
      <c r="S50" s="57"/>
      <c r="T50" s="57"/>
      <c r="U50" s="57"/>
      <c r="V50" s="57"/>
      <c r="W50" s="57"/>
      <c r="X50" s="57"/>
      <c r="Y50" s="57"/>
      <c r="Z50" s="57"/>
      <c r="AA50" s="57"/>
      <c r="AB50" s="105"/>
      <c r="AC50" s="57"/>
      <c r="AD50" s="57"/>
      <c r="AE50" s="57"/>
      <c r="AF50" s="57"/>
      <c r="AG50" s="57"/>
      <c r="AH50" s="57"/>
      <c r="AI50" s="114"/>
      <c r="AJ50" s="57"/>
      <c r="AO50" s="13"/>
      <c r="AP50" s="13"/>
      <c r="AQ50" s="13"/>
    </row>
    <row r="51" spans="2:43" s="14" customFormat="1" x14ac:dyDescent="0.35">
      <c r="B51" s="116"/>
      <c r="C51" s="115"/>
      <c r="M51" s="115"/>
      <c r="Q51" s="116"/>
      <c r="R51" s="139"/>
      <c r="S51" s="57"/>
      <c r="T51" s="57"/>
      <c r="U51" s="57"/>
      <c r="V51" s="57"/>
      <c r="W51" s="57"/>
      <c r="X51" s="57"/>
      <c r="Y51" s="57"/>
      <c r="Z51" s="57"/>
      <c r="AA51" s="57"/>
      <c r="AB51" s="105"/>
      <c r="AC51" s="57"/>
      <c r="AD51" s="57"/>
      <c r="AE51" s="57"/>
      <c r="AF51" s="57"/>
      <c r="AG51" s="57"/>
      <c r="AH51" s="57"/>
      <c r="AI51" s="114"/>
      <c r="AJ51" s="57"/>
      <c r="AO51" s="13"/>
      <c r="AP51" s="13"/>
      <c r="AQ51" s="13"/>
    </row>
    <row r="52" spans="2:43" s="14" customFormat="1" x14ac:dyDescent="0.35">
      <c r="B52" s="116"/>
      <c r="C52" s="115"/>
      <c r="M52" s="115"/>
      <c r="Q52" s="116"/>
      <c r="R52" s="139"/>
      <c r="S52" s="57"/>
      <c r="T52" s="57"/>
      <c r="U52" s="57"/>
      <c r="V52" s="57"/>
      <c r="W52" s="57"/>
      <c r="X52" s="57"/>
      <c r="Y52" s="57"/>
      <c r="Z52" s="57"/>
      <c r="AA52" s="57"/>
      <c r="AB52" s="105"/>
      <c r="AC52" s="57"/>
      <c r="AD52" s="57"/>
      <c r="AE52" s="57"/>
      <c r="AF52" s="57"/>
      <c r="AG52" s="57"/>
      <c r="AH52" s="57"/>
      <c r="AI52" s="114"/>
      <c r="AJ52" s="57"/>
      <c r="AO52" s="13"/>
      <c r="AP52" s="13"/>
      <c r="AQ52" s="13"/>
    </row>
    <row r="53" spans="2:43" s="14" customFormat="1" x14ac:dyDescent="0.35">
      <c r="B53" s="116"/>
      <c r="C53" s="115"/>
      <c r="D53" s="116"/>
      <c r="E53" s="116"/>
      <c r="M53" s="115"/>
      <c r="Q53" s="116"/>
      <c r="R53" s="139"/>
      <c r="S53" s="57"/>
      <c r="T53" s="57"/>
      <c r="U53" s="57"/>
      <c r="V53" s="57"/>
      <c r="W53" s="57"/>
      <c r="X53" s="57"/>
      <c r="Y53" s="57"/>
      <c r="Z53" s="57"/>
      <c r="AA53" s="57"/>
      <c r="AB53" s="105"/>
      <c r="AC53" s="57"/>
      <c r="AD53" s="57"/>
      <c r="AE53" s="57"/>
      <c r="AF53" s="57"/>
      <c r="AG53" s="57"/>
      <c r="AH53" s="57"/>
      <c r="AI53" s="114"/>
      <c r="AJ53" s="57"/>
      <c r="AO53" s="13"/>
      <c r="AP53" s="13"/>
      <c r="AQ53" s="13"/>
    </row>
    <row r="54" spans="2:43" s="14" customFormat="1" x14ac:dyDescent="0.35">
      <c r="B54" s="116"/>
      <c r="C54" s="115"/>
      <c r="D54" s="116"/>
      <c r="E54" s="116"/>
      <c r="M54" s="115"/>
      <c r="Q54" s="116"/>
      <c r="R54" s="139"/>
      <c r="S54" s="57"/>
      <c r="T54" s="57"/>
      <c r="U54" s="57"/>
      <c r="V54" s="57"/>
      <c r="W54" s="57"/>
      <c r="X54" s="57"/>
      <c r="Y54" s="57"/>
      <c r="Z54" s="57"/>
      <c r="AA54" s="57"/>
      <c r="AB54" s="105"/>
      <c r="AC54" s="57"/>
      <c r="AD54" s="57"/>
      <c r="AE54" s="57"/>
      <c r="AF54" s="57"/>
      <c r="AG54" s="57"/>
      <c r="AH54" s="57"/>
      <c r="AI54" s="114"/>
      <c r="AJ54" s="57"/>
      <c r="AO54" s="13"/>
      <c r="AP54" s="13"/>
      <c r="AQ54" s="13"/>
    </row>
    <row r="55" spans="2:43" s="14" customFormat="1" x14ac:dyDescent="0.35">
      <c r="B55" s="116"/>
      <c r="C55" s="115"/>
      <c r="D55" s="116"/>
      <c r="E55" s="116"/>
      <c r="M55" s="115"/>
      <c r="Q55" s="116"/>
      <c r="R55" s="139"/>
      <c r="S55" s="57"/>
      <c r="T55" s="57"/>
      <c r="U55" s="57"/>
      <c r="V55" s="57"/>
      <c r="W55" s="57"/>
      <c r="X55" s="57"/>
      <c r="Y55" s="57"/>
      <c r="Z55" s="57"/>
      <c r="AA55" s="57"/>
      <c r="AB55" s="105"/>
      <c r="AC55" s="57"/>
      <c r="AD55" s="57"/>
      <c r="AE55" s="57"/>
      <c r="AF55" s="57"/>
      <c r="AG55" s="57"/>
      <c r="AH55" s="57"/>
      <c r="AI55" s="114"/>
      <c r="AJ55" s="57"/>
      <c r="AO55" s="13"/>
      <c r="AP55" s="13"/>
      <c r="AQ55" s="13"/>
    </row>
    <row r="56" spans="2:43" s="14" customFormat="1" x14ac:dyDescent="0.35">
      <c r="C56" s="115"/>
      <c r="D56" s="116"/>
      <c r="E56" s="116"/>
      <c r="M56" s="115"/>
      <c r="Q56" s="116"/>
      <c r="S56" s="57"/>
      <c r="T56" s="57"/>
      <c r="U56" s="57"/>
      <c r="V56" s="57"/>
      <c r="W56" s="57"/>
      <c r="X56" s="57"/>
      <c r="Y56" s="57"/>
      <c r="Z56" s="57"/>
      <c r="AA56" s="57"/>
      <c r="AB56" s="105"/>
      <c r="AC56" s="57"/>
      <c r="AD56" s="57"/>
      <c r="AE56" s="57"/>
      <c r="AF56" s="57"/>
      <c r="AG56" s="57"/>
      <c r="AH56" s="57"/>
      <c r="AI56" s="114"/>
      <c r="AJ56" s="57"/>
      <c r="AO56" s="13"/>
      <c r="AP56" s="13"/>
      <c r="AQ56" s="13"/>
    </row>
    <row r="57" spans="2:43" s="14" customFormat="1" x14ac:dyDescent="0.35">
      <c r="C57" s="115"/>
      <c r="M57" s="115"/>
      <c r="Q57" s="116"/>
      <c r="S57" s="57"/>
      <c r="T57" s="57"/>
      <c r="U57" s="57"/>
      <c r="V57" s="57"/>
      <c r="W57" s="57"/>
      <c r="X57" s="57"/>
      <c r="Y57" s="57"/>
      <c r="Z57" s="57"/>
      <c r="AA57" s="57"/>
      <c r="AB57" s="105"/>
      <c r="AC57" s="57"/>
      <c r="AD57" s="57"/>
      <c r="AE57" s="57"/>
      <c r="AF57" s="57"/>
      <c r="AG57" s="57"/>
      <c r="AH57" s="57"/>
      <c r="AI57" s="114"/>
      <c r="AJ57" s="57"/>
      <c r="AO57" s="13"/>
      <c r="AP57" s="13"/>
      <c r="AQ57" s="13"/>
    </row>
    <row r="58" spans="2:43" s="14" customFormat="1" x14ac:dyDescent="0.35">
      <c r="C58" s="115"/>
      <c r="M58" s="115"/>
      <c r="Q58" s="116"/>
      <c r="S58" s="57"/>
      <c r="T58" s="57"/>
      <c r="U58" s="57"/>
      <c r="V58" s="57"/>
      <c r="W58" s="57"/>
      <c r="X58" s="57"/>
      <c r="Y58" s="57"/>
      <c r="Z58" s="57"/>
      <c r="AA58" s="57"/>
      <c r="AB58" s="105"/>
      <c r="AC58" s="57"/>
      <c r="AD58" s="57"/>
      <c r="AE58" s="57"/>
      <c r="AF58" s="57"/>
      <c r="AG58" s="57"/>
      <c r="AH58" s="57"/>
      <c r="AI58" s="114"/>
      <c r="AJ58" s="57"/>
      <c r="AO58" s="13"/>
      <c r="AP58" s="13"/>
      <c r="AQ58" s="13"/>
    </row>
    <row r="59" spans="2:43" s="14" customFormat="1" x14ac:dyDescent="0.35">
      <c r="C59" s="115"/>
      <c r="M59" s="115"/>
      <c r="Q59" s="116"/>
      <c r="S59" s="57"/>
      <c r="T59" s="57"/>
      <c r="U59" s="57"/>
      <c r="V59" s="57"/>
      <c r="W59" s="57"/>
      <c r="X59" s="57"/>
      <c r="Y59" s="57"/>
      <c r="Z59" s="57"/>
      <c r="AA59" s="57"/>
      <c r="AB59" s="105"/>
      <c r="AC59" s="57"/>
      <c r="AD59" s="57"/>
      <c r="AE59" s="57"/>
      <c r="AF59" s="57"/>
      <c r="AG59" s="57"/>
      <c r="AH59" s="57"/>
      <c r="AI59" s="114"/>
      <c r="AJ59" s="57"/>
      <c r="AO59" s="13"/>
      <c r="AP59" s="13"/>
      <c r="AQ59" s="13"/>
    </row>
    <row r="60" spans="2:43" s="14" customFormat="1" x14ac:dyDescent="0.35">
      <c r="C60" s="115"/>
      <c r="M60" s="115"/>
      <c r="Q60" s="116"/>
      <c r="S60" s="57"/>
      <c r="T60" s="57"/>
      <c r="U60" s="57"/>
      <c r="V60" s="57"/>
      <c r="W60" s="57"/>
      <c r="X60" s="57"/>
      <c r="Y60" s="57"/>
      <c r="Z60" s="57"/>
      <c r="AA60" s="57"/>
      <c r="AB60" s="105"/>
      <c r="AC60" s="57"/>
      <c r="AD60" s="57"/>
      <c r="AE60" s="57"/>
      <c r="AF60" s="57"/>
      <c r="AG60" s="57"/>
      <c r="AH60" s="57"/>
      <c r="AI60" s="114"/>
      <c r="AJ60" s="57"/>
      <c r="AO60" s="13"/>
      <c r="AP60" s="13"/>
      <c r="AQ60" s="13"/>
    </row>
  </sheetData>
  <sheetProtection algorithmName="SHA-512" hashValue="ywANccqZBYfsqnMRQKcYG/oxteGJkHB8SuhSBwfu3LU3J5PCgGYvkxeRHjxs0VTsiQgEy/solrtt9qdtQXIcPQ==" saltValue="j4u2JRtmeIC4s8iin22kEA==" spinCount="100000" sheet="1" objects="1" scenarios="1" selectLockedCells="1"/>
  <mergeCells count="41">
    <mergeCell ref="R39:R41"/>
    <mergeCell ref="R43:R45"/>
    <mergeCell ref="R46:R48"/>
    <mergeCell ref="R50:R52"/>
    <mergeCell ref="R53:R55"/>
    <mergeCell ref="C36:D36"/>
    <mergeCell ref="R36:R38"/>
    <mergeCell ref="C37:D37"/>
    <mergeCell ref="C38:D38"/>
    <mergeCell ref="C33:D33"/>
    <mergeCell ref="C34:D34"/>
    <mergeCell ref="C35:D35"/>
    <mergeCell ref="H35:H37"/>
    <mergeCell ref="N35:N37"/>
    <mergeCell ref="R29:R31"/>
    <mergeCell ref="H32:H34"/>
    <mergeCell ref="N32:N34"/>
    <mergeCell ref="H26:H28"/>
    <mergeCell ref="C31:D31"/>
    <mergeCell ref="C32:D32"/>
    <mergeCell ref="R32:R34"/>
    <mergeCell ref="N17:N19"/>
    <mergeCell ref="R15:R17"/>
    <mergeCell ref="H8:H10"/>
    <mergeCell ref="N26:N28"/>
    <mergeCell ref="R18:R20"/>
    <mergeCell ref="N8:N10"/>
    <mergeCell ref="H17:H19"/>
    <mergeCell ref="R22:R24"/>
    <mergeCell ref="N23:N25"/>
    <mergeCell ref="R25:R27"/>
    <mergeCell ref="H23:H25"/>
    <mergeCell ref="B2:Q2"/>
    <mergeCell ref="C4:D5"/>
    <mergeCell ref="N5:N7"/>
    <mergeCell ref="N14:N16"/>
    <mergeCell ref="R8:R10"/>
    <mergeCell ref="C12:E12"/>
    <mergeCell ref="R11:R13"/>
    <mergeCell ref="H14:H16"/>
    <mergeCell ref="H5:H7"/>
  </mergeCells>
  <conditionalFormatting sqref="C16">
    <cfRule type="expression" dxfId="75" priority="87" stopIfTrue="1">
      <formula>$T$23&lt;7</formula>
    </cfRule>
  </conditionalFormatting>
  <conditionalFormatting sqref="E35">
    <cfRule type="expression" dxfId="74" priority="1">
      <formula>$T$23&lt;5</formula>
    </cfRule>
  </conditionalFormatting>
  <conditionalFormatting sqref="E36">
    <cfRule type="expression" dxfId="73" priority="2">
      <formula>$T$23&lt;6</formula>
    </cfRule>
  </conditionalFormatting>
  <conditionalFormatting sqref="E37">
    <cfRule type="expression" dxfId="72" priority="3">
      <formula>$T$23&lt;7</formula>
    </cfRule>
  </conditionalFormatting>
  <conditionalFormatting sqref="E38">
    <cfRule type="expression" dxfId="71" priority="4">
      <formula>$T$23&lt;8</formula>
    </cfRule>
  </conditionalFormatting>
  <conditionalFormatting sqref="G12 K12 G21 K21 G30 K30">
    <cfRule type="expression" dxfId="70" priority="168" stopIfTrue="1">
      <formula>$AI$23=2</formula>
    </cfRule>
  </conditionalFormatting>
  <conditionalFormatting sqref="M4:M11">
    <cfRule type="expression" dxfId="69" priority="11">
      <formula>$AI$23=2</formula>
    </cfRule>
    <cfRule type="expression" dxfId="68" priority="18">
      <formula>$T$23&lt;5</formula>
    </cfRule>
    <cfRule type="expression" dxfId="67" priority="40">
      <formula>$AI$23=2</formula>
    </cfRule>
  </conditionalFormatting>
  <conditionalFormatting sqref="M12">
    <cfRule type="expression" dxfId="66" priority="39" stopIfTrue="1">
      <formula>$AI$23=2</formula>
    </cfRule>
  </conditionalFormatting>
  <conditionalFormatting sqref="M13:M20">
    <cfRule type="expression" dxfId="65" priority="25">
      <formula>$T$23&lt;6</formula>
    </cfRule>
    <cfRule type="expression" dxfId="64" priority="21">
      <formula>$AI$23=2</formula>
    </cfRule>
  </conditionalFormatting>
  <conditionalFormatting sqref="M21">
    <cfRule type="expression" dxfId="63" priority="60" stopIfTrue="1">
      <formula>$AI$23=2</formula>
    </cfRule>
  </conditionalFormatting>
  <conditionalFormatting sqref="M22:M29">
    <cfRule type="expression" dxfId="62" priority="31">
      <formula>$T$23&lt;6</formula>
    </cfRule>
    <cfRule type="expression" dxfId="61" priority="44">
      <formula>$T$23&lt;7</formula>
    </cfRule>
    <cfRule type="expression" dxfId="60" priority="30">
      <formula>$AI$23=2</formula>
    </cfRule>
  </conditionalFormatting>
  <conditionalFormatting sqref="M30">
    <cfRule type="expression" dxfId="59" priority="58" stopIfTrue="1">
      <formula>$AI$23=2</formula>
    </cfRule>
  </conditionalFormatting>
  <conditionalFormatting sqref="M31:M38">
    <cfRule type="expression" dxfId="58" priority="37">
      <formula>$AI$23=2</formula>
    </cfRule>
  </conditionalFormatting>
  <conditionalFormatting sqref="M32:M38">
    <cfRule type="expression" dxfId="57" priority="50">
      <formula>$T$23&lt;8</formula>
    </cfRule>
  </conditionalFormatting>
  <conditionalFormatting sqref="M31:P31">
    <cfRule type="expression" dxfId="56" priority="51">
      <formula>$T$23&lt;8</formula>
    </cfRule>
  </conditionalFormatting>
  <conditionalFormatting sqref="N11:P11 H11:J11 H13:J13 H20:J20 H22:J22 H29:J29 H31:J31">
    <cfRule type="expression" dxfId="55" priority="174" stopIfTrue="1">
      <formula>$AI$23=2</formula>
    </cfRule>
  </conditionalFormatting>
  <conditionalFormatting sqref="N11:P11">
    <cfRule type="expression" dxfId="54" priority="12">
      <formula>$T$23&lt;5</formula>
    </cfRule>
  </conditionalFormatting>
  <conditionalFormatting sqref="N13:P13">
    <cfRule type="expression" dxfId="53" priority="23">
      <formula>$T$23&lt;6</formula>
    </cfRule>
    <cfRule type="expression" dxfId="52" priority="56" stopIfTrue="1">
      <formula>$AI$23=2</formula>
    </cfRule>
  </conditionalFormatting>
  <conditionalFormatting sqref="N20:P20">
    <cfRule type="expression" dxfId="51" priority="52" stopIfTrue="1">
      <formula>$AI$23=2</formula>
    </cfRule>
    <cfRule type="expression" dxfId="50" priority="22">
      <formula>$T$23&lt;6</formula>
    </cfRule>
  </conditionalFormatting>
  <conditionalFormatting sqref="N22:P22">
    <cfRule type="expression" dxfId="49" priority="47">
      <formula>$T$23&lt;7</formula>
    </cfRule>
    <cfRule type="expression" dxfId="48" priority="55" stopIfTrue="1">
      <formula>$AI$23=2</formula>
    </cfRule>
  </conditionalFormatting>
  <conditionalFormatting sqref="N29:P29">
    <cfRule type="expression" dxfId="47" priority="46">
      <formula>$T$23&lt;7</formula>
    </cfRule>
    <cfRule type="expression" dxfId="46" priority="54" stopIfTrue="1">
      <formula>$AI$23=2</formula>
    </cfRule>
  </conditionalFormatting>
  <conditionalFormatting sqref="N31:P31">
    <cfRule type="expression" dxfId="45" priority="53" stopIfTrue="1">
      <formula>$AI$23=2</formula>
    </cfRule>
  </conditionalFormatting>
  <conditionalFormatting sqref="N4:Q4">
    <cfRule type="expression" dxfId="44" priority="8">
      <formula>$AI$23=2</formula>
    </cfRule>
    <cfRule type="expression" dxfId="43" priority="9">
      <formula>$T$23&lt;5</formula>
    </cfRule>
    <cfRule type="expression" dxfId="42" priority="10">
      <formula>$AI$23=2</formula>
    </cfRule>
  </conditionalFormatting>
  <conditionalFormatting sqref="N38:Q38">
    <cfRule type="expression" dxfId="41" priority="35">
      <formula>$AI$23=2</formula>
    </cfRule>
    <cfRule type="expression" dxfId="40" priority="36">
      <formula>$T$23&lt;8</formula>
    </cfRule>
  </conditionalFormatting>
  <conditionalFormatting sqref="Q5:Q11">
    <cfRule type="expression" dxfId="39" priority="5">
      <formula>$AI$23=2</formula>
    </cfRule>
    <cfRule type="expression" dxfId="38" priority="6">
      <formula>$T$23&lt;5</formula>
    </cfRule>
    <cfRule type="expression" dxfId="37" priority="7">
      <formula>$AI$23=2</formula>
    </cfRule>
  </conditionalFormatting>
  <conditionalFormatting sqref="Q12">
    <cfRule type="expression" dxfId="36" priority="61" stopIfTrue="1">
      <formula>$AI$23=2</formula>
    </cfRule>
  </conditionalFormatting>
  <conditionalFormatting sqref="Q13:Q20">
    <cfRule type="expression" dxfId="35" priority="20">
      <formula>$T$23&lt;6</formula>
    </cfRule>
    <cfRule type="expression" dxfId="34" priority="19">
      <formula>$AI$23=2</formula>
    </cfRule>
  </conditionalFormatting>
  <conditionalFormatting sqref="Q21">
    <cfRule type="expression" dxfId="33" priority="59" stopIfTrue="1">
      <formula>$AI$23=2</formula>
    </cfRule>
  </conditionalFormatting>
  <conditionalFormatting sqref="Q22:Q29">
    <cfRule type="expression" dxfId="32" priority="28">
      <formula>$T$23&lt;6</formula>
    </cfRule>
    <cfRule type="expression" dxfId="31" priority="27">
      <formula>$AI$23=2</formula>
    </cfRule>
    <cfRule type="expression" dxfId="30" priority="29">
      <formula>$T$23&lt;7</formula>
    </cfRule>
  </conditionalFormatting>
  <conditionalFormatting sqref="Q30">
    <cfRule type="expression" dxfId="29" priority="57" stopIfTrue="1">
      <formula>$AI$23=2</formula>
    </cfRule>
  </conditionalFormatting>
  <conditionalFormatting sqref="Q31:Q37">
    <cfRule type="expression" dxfId="28" priority="34">
      <formula>$T$23&lt;8</formula>
    </cfRule>
    <cfRule type="expression" dxfId="27" priority="33">
      <formula>$AI$23=2</formula>
    </cfRule>
  </conditionalFormatting>
  <dataValidations count="10">
    <dataValidation type="list" allowBlank="1" showInputMessage="1" showErrorMessage="1" sqref="E31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xr:uid="{00000000-0002-0000-0000-000000000000}">
      <formula1>$C$43:$C$45</formula1>
    </dataValidation>
    <dataValidation type="list" allowBlank="1" showInputMessage="1" showErrorMessage="1" sqref="E38 WVM983078 WLQ983078 WBU983078 VRY983078 VIC983078 UYG983078 UOK983078 UEO983078 TUS983078 TKW983078 TBA983078 SRE983078 SHI983078 RXM983078 RNQ983078 RDU983078 QTY983078 QKC983078 QAG983078 PQK983078 PGO983078 OWS983078 OMW983078 ODA983078 NTE983078 NJI983078 MZM983078 MPQ983078 MFU983078 LVY983078 LMC983078 LCG983078 KSK983078 KIO983078 JYS983078 JOW983078 JFA983078 IVE983078 ILI983078 IBM983078 HRQ983078 HHU983078 GXY983078 GOC983078 GEG983078 FUK983078 FKO983078 FAS983078 EQW983078 EHA983078 DXE983078 DNI983078 DDM983078 CTQ983078 CJU983078 BZY983078 BQC983078 BGG983078 AWK983078 AMO983078 ACS983078 SW983078 JA983078 E983078 WVM917542 WLQ917542 WBU917542 VRY917542 VIC917542 UYG917542 UOK917542 UEO917542 TUS917542 TKW917542 TBA917542 SRE917542 SHI917542 RXM917542 RNQ917542 RDU917542 QTY917542 QKC917542 QAG917542 PQK917542 PGO917542 OWS917542 OMW917542 ODA917542 NTE917542 NJI917542 MZM917542 MPQ917542 MFU917542 LVY917542 LMC917542 LCG917542 KSK917542 KIO917542 JYS917542 JOW917542 JFA917542 IVE917542 ILI917542 IBM917542 HRQ917542 HHU917542 GXY917542 GOC917542 GEG917542 FUK917542 FKO917542 FAS917542 EQW917542 EHA917542 DXE917542 DNI917542 DDM917542 CTQ917542 CJU917542 BZY917542 BQC917542 BGG917542 AWK917542 AMO917542 ACS917542 SW917542 JA917542 E917542 WVM852006 WLQ852006 WBU852006 VRY852006 VIC852006 UYG852006 UOK852006 UEO852006 TUS852006 TKW852006 TBA852006 SRE852006 SHI852006 RXM852006 RNQ852006 RDU852006 QTY852006 QKC852006 QAG852006 PQK852006 PGO852006 OWS852006 OMW852006 ODA852006 NTE852006 NJI852006 MZM852006 MPQ852006 MFU852006 LVY852006 LMC852006 LCG852006 KSK852006 KIO852006 JYS852006 JOW852006 JFA852006 IVE852006 ILI852006 IBM852006 HRQ852006 HHU852006 GXY852006 GOC852006 GEG852006 FUK852006 FKO852006 FAS852006 EQW852006 EHA852006 DXE852006 DNI852006 DDM852006 CTQ852006 CJU852006 BZY852006 BQC852006 BGG852006 AWK852006 AMO852006 ACS852006 SW852006 JA852006 E852006 WVM786470 WLQ786470 WBU786470 VRY786470 VIC786470 UYG786470 UOK786470 UEO786470 TUS786470 TKW786470 TBA786470 SRE786470 SHI786470 RXM786470 RNQ786470 RDU786470 QTY786470 QKC786470 QAG786470 PQK786470 PGO786470 OWS786470 OMW786470 ODA786470 NTE786470 NJI786470 MZM786470 MPQ786470 MFU786470 LVY786470 LMC786470 LCG786470 KSK786470 KIO786470 JYS786470 JOW786470 JFA786470 IVE786470 ILI786470 IBM786470 HRQ786470 HHU786470 GXY786470 GOC786470 GEG786470 FUK786470 FKO786470 FAS786470 EQW786470 EHA786470 DXE786470 DNI786470 DDM786470 CTQ786470 CJU786470 BZY786470 BQC786470 BGG786470 AWK786470 AMO786470 ACS786470 SW786470 JA786470 E786470 WVM720934 WLQ720934 WBU720934 VRY720934 VIC720934 UYG720934 UOK720934 UEO720934 TUS720934 TKW720934 TBA720934 SRE720934 SHI720934 RXM720934 RNQ720934 RDU720934 QTY720934 QKC720934 QAG720934 PQK720934 PGO720934 OWS720934 OMW720934 ODA720934 NTE720934 NJI720934 MZM720934 MPQ720934 MFU720934 LVY720934 LMC720934 LCG720934 KSK720934 KIO720934 JYS720934 JOW720934 JFA720934 IVE720934 ILI720934 IBM720934 HRQ720934 HHU720934 GXY720934 GOC720934 GEG720934 FUK720934 FKO720934 FAS720934 EQW720934 EHA720934 DXE720934 DNI720934 DDM720934 CTQ720934 CJU720934 BZY720934 BQC720934 BGG720934 AWK720934 AMO720934 ACS720934 SW720934 JA720934 E720934 WVM655398 WLQ655398 WBU655398 VRY655398 VIC655398 UYG655398 UOK655398 UEO655398 TUS655398 TKW655398 TBA655398 SRE655398 SHI655398 RXM655398 RNQ655398 RDU655398 QTY655398 QKC655398 QAG655398 PQK655398 PGO655398 OWS655398 OMW655398 ODA655398 NTE655398 NJI655398 MZM655398 MPQ655398 MFU655398 LVY655398 LMC655398 LCG655398 KSK655398 KIO655398 JYS655398 JOW655398 JFA655398 IVE655398 ILI655398 IBM655398 HRQ655398 HHU655398 GXY655398 GOC655398 GEG655398 FUK655398 FKO655398 FAS655398 EQW655398 EHA655398 DXE655398 DNI655398 DDM655398 CTQ655398 CJU655398 BZY655398 BQC655398 BGG655398 AWK655398 AMO655398 ACS655398 SW655398 JA655398 E655398 WVM589862 WLQ589862 WBU589862 VRY589862 VIC589862 UYG589862 UOK589862 UEO589862 TUS589862 TKW589862 TBA589862 SRE589862 SHI589862 RXM589862 RNQ589862 RDU589862 QTY589862 QKC589862 QAG589862 PQK589862 PGO589862 OWS589862 OMW589862 ODA589862 NTE589862 NJI589862 MZM589862 MPQ589862 MFU589862 LVY589862 LMC589862 LCG589862 KSK589862 KIO589862 JYS589862 JOW589862 JFA589862 IVE589862 ILI589862 IBM589862 HRQ589862 HHU589862 GXY589862 GOC589862 GEG589862 FUK589862 FKO589862 FAS589862 EQW589862 EHA589862 DXE589862 DNI589862 DDM589862 CTQ589862 CJU589862 BZY589862 BQC589862 BGG589862 AWK589862 AMO589862 ACS589862 SW589862 JA589862 E589862 WVM524326 WLQ524326 WBU524326 VRY524326 VIC524326 UYG524326 UOK524326 UEO524326 TUS524326 TKW524326 TBA524326 SRE524326 SHI524326 RXM524326 RNQ524326 RDU524326 QTY524326 QKC524326 QAG524326 PQK524326 PGO524326 OWS524326 OMW524326 ODA524326 NTE524326 NJI524326 MZM524326 MPQ524326 MFU524326 LVY524326 LMC524326 LCG524326 KSK524326 KIO524326 JYS524326 JOW524326 JFA524326 IVE524326 ILI524326 IBM524326 HRQ524326 HHU524326 GXY524326 GOC524326 GEG524326 FUK524326 FKO524326 FAS524326 EQW524326 EHA524326 DXE524326 DNI524326 DDM524326 CTQ524326 CJU524326 BZY524326 BQC524326 BGG524326 AWK524326 AMO524326 ACS524326 SW524326 JA524326 E524326 WVM458790 WLQ458790 WBU458790 VRY458790 VIC458790 UYG458790 UOK458790 UEO458790 TUS458790 TKW458790 TBA458790 SRE458790 SHI458790 RXM458790 RNQ458790 RDU458790 QTY458790 QKC458790 QAG458790 PQK458790 PGO458790 OWS458790 OMW458790 ODA458790 NTE458790 NJI458790 MZM458790 MPQ458790 MFU458790 LVY458790 LMC458790 LCG458790 KSK458790 KIO458790 JYS458790 JOW458790 JFA458790 IVE458790 ILI458790 IBM458790 HRQ458790 HHU458790 GXY458790 GOC458790 GEG458790 FUK458790 FKO458790 FAS458790 EQW458790 EHA458790 DXE458790 DNI458790 DDM458790 CTQ458790 CJU458790 BZY458790 BQC458790 BGG458790 AWK458790 AMO458790 ACS458790 SW458790 JA458790 E458790 WVM393254 WLQ393254 WBU393254 VRY393254 VIC393254 UYG393254 UOK393254 UEO393254 TUS393254 TKW393254 TBA393254 SRE393254 SHI393254 RXM393254 RNQ393254 RDU393254 QTY393254 QKC393254 QAG393254 PQK393254 PGO393254 OWS393254 OMW393254 ODA393254 NTE393254 NJI393254 MZM393254 MPQ393254 MFU393254 LVY393254 LMC393254 LCG393254 KSK393254 KIO393254 JYS393254 JOW393254 JFA393254 IVE393254 ILI393254 IBM393254 HRQ393254 HHU393254 GXY393254 GOC393254 GEG393254 FUK393254 FKO393254 FAS393254 EQW393254 EHA393254 DXE393254 DNI393254 DDM393254 CTQ393254 CJU393254 BZY393254 BQC393254 BGG393254 AWK393254 AMO393254 ACS393254 SW393254 JA393254 E393254 WVM327718 WLQ327718 WBU327718 VRY327718 VIC327718 UYG327718 UOK327718 UEO327718 TUS327718 TKW327718 TBA327718 SRE327718 SHI327718 RXM327718 RNQ327718 RDU327718 QTY327718 QKC327718 QAG327718 PQK327718 PGO327718 OWS327718 OMW327718 ODA327718 NTE327718 NJI327718 MZM327718 MPQ327718 MFU327718 LVY327718 LMC327718 LCG327718 KSK327718 KIO327718 JYS327718 JOW327718 JFA327718 IVE327718 ILI327718 IBM327718 HRQ327718 HHU327718 GXY327718 GOC327718 GEG327718 FUK327718 FKO327718 FAS327718 EQW327718 EHA327718 DXE327718 DNI327718 DDM327718 CTQ327718 CJU327718 BZY327718 BQC327718 BGG327718 AWK327718 AMO327718 ACS327718 SW327718 JA327718 E327718 WVM262182 WLQ262182 WBU262182 VRY262182 VIC262182 UYG262182 UOK262182 UEO262182 TUS262182 TKW262182 TBA262182 SRE262182 SHI262182 RXM262182 RNQ262182 RDU262182 QTY262182 QKC262182 QAG262182 PQK262182 PGO262182 OWS262182 OMW262182 ODA262182 NTE262182 NJI262182 MZM262182 MPQ262182 MFU262182 LVY262182 LMC262182 LCG262182 KSK262182 KIO262182 JYS262182 JOW262182 JFA262182 IVE262182 ILI262182 IBM262182 HRQ262182 HHU262182 GXY262182 GOC262182 GEG262182 FUK262182 FKO262182 FAS262182 EQW262182 EHA262182 DXE262182 DNI262182 DDM262182 CTQ262182 CJU262182 BZY262182 BQC262182 BGG262182 AWK262182 AMO262182 ACS262182 SW262182 JA262182 E262182 WVM196646 WLQ196646 WBU196646 VRY196646 VIC196646 UYG196646 UOK196646 UEO196646 TUS196646 TKW196646 TBA196646 SRE196646 SHI196646 RXM196646 RNQ196646 RDU196646 QTY196646 QKC196646 QAG196646 PQK196646 PGO196646 OWS196646 OMW196646 ODA196646 NTE196646 NJI196646 MZM196646 MPQ196646 MFU196646 LVY196646 LMC196646 LCG196646 KSK196646 KIO196646 JYS196646 JOW196646 JFA196646 IVE196646 ILI196646 IBM196646 HRQ196646 HHU196646 GXY196646 GOC196646 GEG196646 FUK196646 FKO196646 FAS196646 EQW196646 EHA196646 DXE196646 DNI196646 DDM196646 CTQ196646 CJU196646 BZY196646 BQC196646 BGG196646 AWK196646 AMO196646 ACS196646 SW196646 JA196646 E196646 WVM131110 WLQ131110 WBU131110 VRY131110 VIC131110 UYG131110 UOK131110 UEO131110 TUS131110 TKW131110 TBA131110 SRE131110 SHI131110 RXM131110 RNQ131110 RDU131110 QTY131110 QKC131110 QAG131110 PQK131110 PGO131110 OWS131110 OMW131110 ODA131110 NTE131110 NJI131110 MZM131110 MPQ131110 MFU131110 LVY131110 LMC131110 LCG131110 KSK131110 KIO131110 JYS131110 JOW131110 JFA131110 IVE131110 ILI131110 IBM131110 HRQ131110 HHU131110 GXY131110 GOC131110 GEG131110 FUK131110 FKO131110 FAS131110 EQW131110 EHA131110 DXE131110 DNI131110 DDM131110 CTQ131110 CJU131110 BZY131110 BQC131110 BGG131110 AWK131110 AMO131110 ACS131110 SW131110 JA131110 E131110 WVM65574 WLQ65574 WBU65574 VRY65574 VIC65574 UYG65574 UOK65574 UEO65574 TUS65574 TKW65574 TBA65574 SRE65574 SHI65574 RXM65574 RNQ65574 RDU65574 QTY65574 QKC65574 QAG65574 PQK65574 PGO65574 OWS65574 OMW65574 ODA65574 NTE65574 NJI65574 MZM65574 MPQ65574 MFU65574 LVY65574 LMC65574 LCG65574 KSK65574 KIO65574 JYS65574 JOW65574 JFA65574 IVE65574 ILI65574 IBM65574 HRQ65574 HHU65574 GXY65574 GOC65574 GEG65574 FUK65574 FKO65574 FAS65574 EQW65574 EHA65574 DXE65574 DNI65574 DDM65574 CTQ65574 CJU65574 BZY65574 BQC65574 BGG65574 AWK65574 AMO65574 ACS65574 SW65574 JA65574 E65574 WVM38 WLQ38 WBU38 VRY38 VIC38 UYG38 UOK38 UEO38 TUS38 TKW38 TBA38 SRE38 SHI38 RXM38 RNQ38 RDU38 QTY38 QKC38 QAG38 PQK38 PGO38 OWS38 OMW38 ODA38 NTE38 NJI38 MZM38 MPQ38 MFU38 LVY38 LMC38 LCG38 KSK38 KIO38 JYS38 JOW38 JFA38 IVE38 ILI38 IBM38 HRQ38 HHU38 GXY38 GOC38 GEG38 FUK38 FKO38 FAS38 EQW38 EHA38 DXE38 DNI38 DDM38 CTQ38 CJU38 BZY38 BQC38 BGG38 AWK38 AMO38 ACS38 SW38 JA38" xr:uid="{00000000-0002-0000-0000-000001000000}">
      <formula1>$J$43:$J$45</formula1>
    </dataValidation>
    <dataValidation type="list" allowBlank="1" showInputMessage="1" showErrorMessage="1" sqref="E37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xr:uid="{00000000-0002-0000-0000-000002000000}">
      <formula1>$I$43:$I$45</formula1>
    </dataValidation>
    <dataValidation type="list" allowBlank="1" showInputMessage="1" showErrorMessage="1" sqref="E36 WVM983076 WLQ983076 WBU983076 VRY983076 VIC983076 UYG983076 UOK983076 UEO983076 TUS983076 TKW983076 TBA983076 SRE983076 SHI983076 RXM983076 RNQ983076 RDU983076 QTY983076 QKC983076 QAG983076 PQK983076 PGO983076 OWS983076 OMW983076 ODA983076 NTE983076 NJI983076 MZM983076 MPQ983076 MFU983076 LVY983076 LMC983076 LCG983076 KSK983076 KIO983076 JYS983076 JOW983076 JFA983076 IVE983076 ILI983076 IBM983076 HRQ983076 HHU983076 GXY983076 GOC983076 GEG983076 FUK983076 FKO983076 FAS983076 EQW983076 EHA983076 DXE983076 DNI983076 DDM983076 CTQ983076 CJU983076 BZY983076 BQC983076 BGG983076 AWK983076 AMO983076 ACS983076 SW983076 JA983076 E983076 WVM917540 WLQ917540 WBU917540 VRY917540 VIC917540 UYG917540 UOK917540 UEO917540 TUS917540 TKW917540 TBA917540 SRE917540 SHI917540 RXM917540 RNQ917540 RDU917540 QTY917540 QKC917540 QAG917540 PQK917540 PGO917540 OWS917540 OMW917540 ODA917540 NTE917540 NJI917540 MZM917540 MPQ917540 MFU917540 LVY917540 LMC917540 LCG917540 KSK917540 KIO917540 JYS917540 JOW917540 JFA917540 IVE917540 ILI917540 IBM917540 HRQ917540 HHU917540 GXY917540 GOC917540 GEG917540 FUK917540 FKO917540 FAS917540 EQW917540 EHA917540 DXE917540 DNI917540 DDM917540 CTQ917540 CJU917540 BZY917540 BQC917540 BGG917540 AWK917540 AMO917540 ACS917540 SW917540 JA917540 E917540 WVM852004 WLQ852004 WBU852004 VRY852004 VIC852004 UYG852004 UOK852004 UEO852004 TUS852004 TKW852004 TBA852004 SRE852004 SHI852004 RXM852004 RNQ852004 RDU852004 QTY852004 QKC852004 QAG852004 PQK852004 PGO852004 OWS852004 OMW852004 ODA852004 NTE852004 NJI852004 MZM852004 MPQ852004 MFU852004 LVY852004 LMC852004 LCG852004 KSK852004 KIO852004 JYS852004 JOW852004 JFA852004 IVE852004 ILI852004 IBM852004 HRQ852004 HHU852004 GXY852004 GOC852004 GEG852004 FUK852004 FKO852004 FAS852004 EQW852004 EHA852004 DXE852004 DNI852004 DDM852004 CTQ852004 CJU852004 BZY852004 BQC852004 BGG852004 AWK852004 AMO852004 ACS852004 SW852004 JA852004 E852004 WVM786468 WLQ786468 WBU786468 VRY786468 VIC786468 UYG786468 UOK786468 UEO786468 TUS786468 TKW786468 TBA786468 SRE786468 SHI786468 RXM786468 RNQ786468 RDU786468 QTY786468 QKC786468 QAG786468 PQK786468 PGO786468 OWS786468 OMW786468 ODA786468 NTE786468 NJI786468 MZM786468 MPQ786468 MFU786468 LVY786468 LMC786468 LCG786468 KSK786468 KIO786468 JYS786468 JOW786468 JFA786468 IVE786468 ILI786468 IBM786468 HRQ786468 HHU786468 GXY786468 GOC786468 GEG786468 FUK786468 FKO786468 FAS786468 EQW786468 EHA786468 DXE786468 DNI786468 DDM786468 CTQ786468 CJU786468 BZY786468 BQC786468 BGG786468 AWK786468 AMO786468 ACS786468 SW786468 JA786468 E786468 WVM720932 WLQ720932 WBU720932 VRY720932 VIC720932 UYG720932 UOK720932 UEO720932 TUS720932 TKW720932 TBA720932 SRE720932 SHI720932 RXM720932 RNQ720932 RDU720932 QTY720932 QKC720932 QAG720932 PQK720932 PGO720932 OWS720932 OMW720932 ODA720932 NTE720932 NJI720932 MZM720932 MPQ720932 MFU720932 LVY720932 LMC720932 LCG720932 KSK720932 KIO720932 JYS720932 JOW720932 JFA720932 IVE720932 ILI720932 IBM720932 HRQ720932 HHU720932 GXY720932 GOC720932 GEG720932 FUK720932 FKO720932 FAS720932 EQW720932 EHA720932 DXE720932 DNI720932 DDM720932 CTQ720932 CJU720932 BZY720932 BQC720932 BGG720932 AWK720932 AMO720932 ACS720932 SW720932 JA720932 E720932 WVM655396 WLQ655396 WBU655396 VRY655396 VIC655396 UYG655396 UOK655396 UEO655396 TUS655396 TKW655396 TBA655396 SRE655396 SHI655396 RXM655396 RNQ655396 RDU655396 QTY655396 QKC655396 QAG655396 PQK655396 PGO655396 OWS655396 OMW655396 ODA655396 NTE655396 NJI655396 MZM655396 MPQ655396 MFU655396 LVY655396 LMC655396 LCG655396 KSK655396 KIO655396 JYS655396 JOW655396 JFA655396 IVE655396 ILI655396 IBM655396 HRQ655396 HHU655396 GXY655396 GOC655396 GEG655396 FUK655396 FKO655396 FAS655396 EQW655396 EHA655396 DXE655396 DNI655396 DDM655396 CTQ655396 CJU655396 BZY655396 BQC655396 BGG655396 AWK655396 AMO655396 ACS655396 SW655396 JA655396 E655396 WVM589860 WLQ589860 WBU589860 VRY589860 VIC589860 UYG589860 UOK589860 UEO589860 TUS589860 TKW589860 TBA589860 SRE589860 SHI589860 RXM589860 RNQ589860 RDU589860 QTY589860 QKC589860 QAG589860 PQK589860 PGO589860 OWS589860 OMW589860 ODA589860 NTE589860 NJI589860 MZM589860 MPQ589860 MFU589860 LVY589860 LMC589860 LCG589860 KSK589860 KIO589860 JYS589860 JOW589860 JFA589860 IVE589860 ILI589860 IBM589860 HRQ589860 HHU589860 GXY589860 GOC589860 GEG589860 FUK589860 FKO589860 FAS589860 EQW589860 EHA589860 DXE589860 DNI589860 DDM589860 CTQ589860 CJU589860 BZY589860 BQC589860 BGG589860 AWK589860 AMO589860 ACS589860 SW589860 JA589860 E589860 WVM524324 WLQ524324 WBU524324 VRY524324 VIC524324 UYG524324 UOK524324 UEO524324 TUS524324 TKW524324 TBA524324 SRE524324 SHI524324 RXM524324 RNQ524324 RDU524324 QTY524324 QKC524324 QAG524324 PQK524324 PGO524324 OWS524324 OMW524324 ODA524324 NTE524324 NJI524324 MZM524324 MPQ524324 MFU524324 LVY524324 LMC524324 LCG524324 KSK524324 KIO524324 JYS524324 JOW524324 JFA524324 IVE524324 ILI524324 IBM524324 HRQ524324 HHU524324 GXY524324 GOC524324 GEG524324 FUK524324 FKO524324 FAS524324 EQW524324 EHA524324 DXE524324 DNI524324 DDM524324 CTQ524324 CJU524324 BZY524324 BQC524324 BGG524324 AWK524324 AMO524324 ACS524324 SW524324 JA524324 E524324 WVM458788 WLQ458788 WBU458788 VRY458788 VIC458788 UYG458788 UOK458788 UEO458788 TUS458788 TKW458788 TBA458788 SRE458788 SHI458788 RXM458788 RNQ458788 RDU458788 QTY458788 QKC458788 QAG458788 PQK458788 PGO458788 OWS458788 OMW458788 ODA458788 NTE458788 NJI458788 MZM458788 MPQ458788 MFU458788 LVY458788 LMC458788 LCG458788 KSK458788 KIO458788 JYS458788 JOW458788 JFA458788 IVE458788 ILI458788 IBM458788 HRQ458788 HHU458788 GXY458788 GOC458788 GEG458788 FUK458788 FKO458788 FAS458788 EQW458788 EHA458788 DXE458788 DNI458788 DDM458788 CTQ458788 CJU458788 BZY458788 BQC458788 BGG458788 AWK458788 AMO458788 ACS458788 SW458788 JA458788 E458788 WVM393252 WLQ393252 WBU393252 VRY393252 VIC393252 UYG393252 UOK393252 UEO393252 TUS393252 TKW393252 TBA393252 SRE393252 SHI393252 RXM393252 RNQ393252 RDU393252 QTY393252 QKC393252 QAG393252 PQK393252 PGO393252 OWS393252 OMW393252 ODA393252 NTE393252 NJI393252 MZM393252 MPQ393252 MFU393252 LVY393252 LMC393252 LCG393252 KSK393252 KIO393252 JYS393252 JOW393252 JFA393252 IVE393252 ILI393252 IBM393252 HRQ393252 HHU393252 GXY393252 GOC393252 GEG393252 FUK393252 FKO393252 FAS393252 EQW393252 EHA393252 DXE393252 DNI393252 DDM393252 CTQ393252 CJU393252 BZY393252 BQC393252 BGG393252 AWK393252 AMO393252 ACS393252 SW393252 JA393252 E393252 WVM327716 WLQ327716 WBU327716 VRY327716 VIC327716 UYG327716 UOK327716 UEO327716 TUS327716 TKW327716 TBA327716 SRE327716 SHI327716 RXM327716 RNQ327716 RDU327716 QTY327716 QKC327716 QAG327716 PQK327716 PGO327716 OWS327716 OMW327716 ODA327716 NTE327716 NJI327716 MZM327716 MPQ327716 MFU327716 LVY327716 LMC327716 LCG327716 KSK327716 KIO327716 JYS327716 JOW327716 JFA327716 IVE327716 ILI327716 IBM327716 HRQ327716 HHU327716 GXY327716 GOC327716 GEG327716 FUK327716 FKO327716 FAS327716 EQW327716 EHA327716 DXE327716 DNI327716 DDM327716 CTQ327716 CJU327716 BZY327716 BQC327716 BGG327716 AWK327716 AMO327716 ACS327716 SW327716 JA327716 E327716 WVM262180 WLQ262180 WBU262180 VRY262180 VIC262180 UYG262180 UOK262180 UEO262180 TUS262180 TKW262180 TBA262180 SRE262180 SHI262180 RXM262180 RNQ262180 RDU262180 QTY262180 QKC262180 QAG262180 PQK262180 PGO262180 OWS262180 OMW262180 ODA262180 NTE262180 NJI262180 MZM262180 MPQ262180 MFU262180 LVY262180 LMC262180 LCG262180 KSK262180 KIO262180 JYS262180 JOW262180 JFA262180 IVE262180 ILI262180 IBM262180 HRQ262180 HHU262180 GXY262180 GOC262180 GEG262180 FUK262180 FKO262180 FAS262180 EQW262180 EHA262180 DXE262180 DNI262180 DDM262180 CTQ262180 CJU262180 BZY262180 BQC262180 BGG262180 AWK262180 AMO262180 ACS262180 SW262180 JA262180 E262180 WVM196644 WLQ196644 WBU196644 VRY196644 VIC196644 UYG196644 UOK196644 UEO196644 TUS196644 TKW196644 TBA196644 SRE196644 SHI196644 RXM196644 RNQ196644 RDU196644 QTY196644 QKC196644 QAG196644 PQK196644 PGO196644 OWS196644 OMW196644 ODA196644 NTE196644 NJI196644 MZM196644 MPQ196644 MFU196644 LVY196644 LMC196644 LCG196644 KSK196644 KIO196644 JYS196644 JOW196644 JFA196644 IVE196644 ILI196644 IBM196644 HRQ196644 HHU196644 GXY196644 GOC196644 GEG196644 FUK196644 FKO196644 FAS196644 EQW196644 EHA196644 DXE196644 DNI196644 DDM196644 CTQ196644 CJU196644 BZY196644 BQC196644 BGG196644 AWK196644 AMO196644 ACS196644 SW196644 JA196644 E196644 WVM131108 WLQ131108 WBU131108 VRY131108 VIC131108 UYG131108 UOK131108 UEO131108 TUS131108 TKW131108 TBA131108 SRE131108 SHI131108 RXM131108 RNQ131108 RDU131108 QTY131108 QKC131108 QAG131108 PQK131108 PGO131108 OWS131108 OMW131108 ODA131108 NTE131108 NJI131108 MZM131108 MPQ131108 MFU131108 LVY131108 LMC131108 LCG131108 KSK131108 KIO131108 JYS131108 JOW131108 JFA131108 IVE131108 ILI131108 IBM131108 HRQ131108 HHU131108 GXY131108 GOC131108 GEG131108 FUK131108 FKO131108 FAS131108 EQW131108 EHA131108 DXE131108 DNI131108 DDM131108 CTQ131108 CJU131108 BZY131108 BQC131108 BGG131108 AWK131108 AMO131108 ACS131108 SW131108 JA131108 E131108 WVM65572 WLQ65572 WBU65572 VRY65572 VIC65572 UYG65572 UOK65572 UEO65572 TUS65572 TKW65572 TBA65572 SRE65572 SHI65572 RXM65572 RNQ65572 RDU65572 QTY65572 QKC65572 QAG65572 PQK65572 PGO65572 OWS65572 OMW65572 ODA65572 NTE65572 NJI65572 MZM65572 MPQ65572 MFU65572 LVY65572 LMC65572 LCG65572 KSK65572 KIO65572 JYS65572 JOW65572 JFA65572 IVE65572 ILI65572 IBM65572 HRQ65572 HHU65572 GXY65572 GOC65572 GEG65572 FUK65572 FKO65572 FAS65572 EQW65572 EHA65572 DXE65572 DNI65572 DDM65572 CTQ65572 CJU65572 BZY65572 BQC65572 BGG65572 AWK65572 AMO65572 ACS65572 SW65572 JA65572 E65572 WVM36 WLQ36 WBU36 VRY36 VIC36 UYG36 UOK36 UEO36 TUS36 TKW36 TBA36 SRE36 SHI36 RXM36 RNQ36 RDU36 QTY36 QKC36 QAG36 PQK36 PGO36 OWS36 OMW36 ODA36 NTE36 NJI36 MZM36 MPQ36 MFU36 LVY36 LMC36 LCG36 KSK36 KIO36 JYS36 JOW36 JFA36 IVE36 ILI36 IBM36 HRQ36 HHU36 GXY36 GOC36 GEG36 FUK36 FKO36 FAS36 EQW36 EHA36 DXE36 DNI36 DDM36 CTQ36 CJU36 BZY36 BQC36 BGG36 AWK36 AMO36 ACS36 SW36 JA36" xr:uid="{00000000-0002-0000-0000-000003000000}">
      <formula1>$H$43:$H$45</formula1>
    </dataValidation>
    <dataValidation type="list" allowBlank="1" showInputMessage="1" showErrorMessage="1" sqref="E35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xr:uid="{00000000-0002-0000-0000-000004000000}">
      <formula1>$G$43:$G$45</formula1>
    </dataValidation>
    <dataValidation type="list" allowBlank="1" showInputMessage="1" showErrorMessage="1" sqref="E34 WVM983074 WLQ983074 WBU983074 VRY983074 VIC983074 UYG983074 UOK983074 UEO983074 TUS983074 TKW983074 TBA983074 SRE983074 SHI983074 RXM983074 RNQ983074 RDU983074 QTY983074 QKC983074 QAG983074 PQK983074 PGO983074 OWS983074 OMW983074 ODA983074 NTE983074 NJI983074 MZM983074 MPQ983074 MFU983074 LVY983074 LMC983074 LCG983074 KSK983074 KIO983074 JYS983074 JOW983074 JFA983074 IVE983074 ILI983074 IBM983074 HRQ983074 HHU983074 GXY983074 GOC983074 GEG983074 FUK983074 FKO983074 FAS983074 EQW983074 EHA983074 DXE983074 DNI983074 DDM983074 CTQ983074 CJU983074 BZY983074 BQC983074 BGG983074 AWK983074 AMO983074 ACS983074 SW983074 JA983074 E983074 WVM917538 WLQ917538 WBU917538 VRY917538 VIC917538 UYG917538 UOK917538 UEO917538 TUS917538 TKW917538 TBA917538 SRE917538 SHI917538 RXM917538 RNQ917538 RDU917538 QTY917538 QKC917538 QAG917538 PQK917538 PGO917538 OWS917538 OMW917538 ODA917538 NTE917538 NJI917538 MZM917538 MPQ917538 MFU917538 LVY917538 LMC917538 LCG917538 KSK917538 KIO917538 JYS917538 JOW917538 JFA917538 IVE917538 ILI917538 IBM917538 HRQ917538 HHU917538 GXY917538 GOC917538 GEG917538 FUK917538 FKO917538 FAS917538 EQW917538 EHA917538 DXE917538 DNI917538 DDM917538 CTQ917538 CJU917538 BZY917538 BQC917538 BGG917538 AWK917538 AMO917538 ACS917538 SW917538 JA917538 E917538 WVM852002 WLQ852002 WBU852002 VRY852002 VIC852002 UYG852002 UOK852002 UEO852002 TUS852002 TKW852002 TBA852002 SRE852002 SHI852002 RXM852002 RNQ852002 RDU852002 QTY852002 QKC852002 QAG852002 PQK852002 PGO852002 OWS852002 OMW852002 ODA852002 NTE852002 NJI852002 MZM852002 MPQ852002 MFU852002 LVY852002 LMC852002 LCG852002 KSK852002 KIO852002 JYS852002 JOW852002 JFA852002 IVE852002 ILI852002 IBM852002 HRQ852002 HHU852002 GXY852002 GOC852002 GEG852002 FUK852002 FKO852002 FAS852002 EQW852002 EHA852002 DXE852002 DNI852002 DDM852002 CTQ852002 CJU852002 BZY852002 BQC852002 BGG852002 AWK852002 AMO852002 ACS852002 SW852002 JA852002 E852002 WVM786466 WLQ786466 WBU786466 VRY786466 VIC786466 UYG786466 UOK786466 UEO786466 TUS786466 TKW786466 TBA786466 SRE786466 SHI786466 RXM786466 RNQ786466 RDU786466 QTY786466 QKC786466 QAG786466 PQK786466 PGO786466 OWS786466 OMW786466 ODA786466 NTE786466 NJI786466 MZM786466 MPQ786466 MFU786466 LVY786466 LMC786466 LCG786466 KSK786466 KIO786466 JYS786466 JOW786466 JFA786466 IVE786466 ILI786466 IBM786466 HRQ786466 HHU786466 GXY786466 GOC786466 GEG786466 FUK786466 FKO786466 FAS786466 EQW786466 EHA786466 DXE786466 DNI786466 DDM786466 CTQ786466 CJU786466 BZY786466 BQC786466 BGG786466 AWK786466 AMO786466 ACS786466 SW786466 JA786466 E786466 WVM720930 WLQ720930 WBU720930 VRY720930 VIC720930 UYG720930 UOK720930 UEO720930 TUS720930 TKW720930 TBA720930 SRE720930 SHI720930 RXM720930 RNQ720930 RDU720930 QTY720930 QKC720930 QAG720930 PQK720930 PGO720930 OWS720930 OMW720930 ODA720930 NTE720930 NJI720930 MZM720930 MPQ720930 MFU720930 LVY720930 LMC720930 LCG720930 KSK720930 KIO720930 JYS720930 JOW720930 JFA720930 IVE720930 ILI720930 IBM720930 HRQ720930 HHU720930 GXY720930 GOC720930 GEG720930 FUK720930 FKO720930 FAS720930 EQW720930 EHA720930 DXE720930 DNI720930 DDM720930 CTQ720930 CJU720930 BZY720930 BQC720930 BGG720930 AWK720930 AMO720930 ACS720930 SW720930 JA720930 E720930 WVM655394 WLQ655394 WBU655394 VRY655394 VIC655394 UYG655394 UOK655394 UEO655394 TUS655394 TKW655394 TBA655394 SRE655394 SHI655394 RXM655394 RNQ655394 RDU655394 QTY655394 QKC655394 QAG655394 PQK655394 PGO655394 OWS655394 OMW655394 ODA655394 NTE655394 NJI655394 MZM655394 MPQ655394 MFU655394 LVY655394 LMC655394 LCG655394 KSK655394 KIO655394 JYS655394 JOW655394 JFA655394 IVE655394 ILI655394 IBM655394 HRQ655394 HHU655394 GXY655394 GOC655394 GEG655394 FUK655394 FKO655394 FAS655394 EQW655394 EHA655394 DXE655394 DNI655394 DDM655394 CTQ655394 CJU655394 BZY655394 BQC655394 BGG655394 AWK655394 AMO655394 ACS655394 SW655394 JA655394 E655394 WVM589858 WLQ589858 WBU589858 VRY589858 VIC589858 UYG589858 UOK589858 UEO589858 TUS589858 TKW589858 TBA589858 SRE589858 SHI589858 RXM589858 RNQ589858 RDU589858 QTY589858 QKC589858 QAG589858 PQK589858 PGO589858 OWS589858 OMW589858 ODA589858 NTE589858 NJI589858 MZM589858 MPQ589858 MFU589858 LVY589858 LMC589858 LCG589858 KSK589858 KIO589858 JYS589858 JOW589858 JFA589858 IVE589858 ILI589858 IBM589858 HRQ589858 HHU589858 GXY589858 GOC589858 GEG589858 FUK589858 FKO589858 FAS589858 EQW589858 EHA589858 DXE589858 DNI589858 DDM589858 CTQ589858 CJU589858 BZY589858 BQC589858 BGG589858 AWK589858 AMO589858 ACS589858 SW589858 JA589858 E589858 WVM524322 WLQ524322 WBU524322 VRY524322 VIC524322 UYG524322 UOK524322 UEO524322 TUS524322 TKW524322 TBA524322 SRE524322 SHI524322 RXM524322 RNQ524322 RDU524322 QTY524322 QKC524322 QAG524322 PQK524322 PGO524322 OWS524322 OMW524322 ODA524322 NTE524322 NJI524322 MZM524322 MPQ524322 MFU524322 LVY524322 LMC524322 LCG524322 KSK524322 KIO524322 JYS524322 JOW524322 JFA524322 IVE524322 ILI524322 IBM524322 HRQ524322 HHU524322 GXY524322 GOC524322 GEG524322 FUK524322 FKO524322 FAS524322 EQW524322 EHA524322 DXE524322 DNI524322 DDM524322 CTQ524322 CJU524322 BZY524322 BQC524322 BGG524322 AWK524322 AMO524322 ACS524322 SW524322 JA524322 E524322 WVM458786 WLQ458786 WBU458786 VRY458786 VIC458786 UYG458786 UOK458786 UEO458786 TUS458786 TKW458786 TBA458786 SRE458786 SHI458786 RXM458786 RNQ458786 RDU458786 QTY458786 QKC458786 QAG458786 PQK458786 PGO458786 OWS458786 OMW458786 ODA458786 NTE458786 NJI458786 MZM458786 MPQ458786 MFU458786 LVY458786 LMC458786 LCG458786 KSK458786 KIO458786 JYS458786 JOW458786 JFA458786 IVE458786 ILI458786 IBM458786 HRQ458786 HHU458786 GXY458786 GOC458786 GEG458786 FUK458786 FKO458786 FAS458786 EQW458786 EHA458786 DXE458786 DNI458786 DDM458786 CTQ458786 CJU458786 BZY458786 BQC458786 BGG458786 AWK458786 AMO458786 ACS458786 SW458786 JA458786 E458786 WVM393250 WLQ393250 WBU393250 VRY393250 VIC393250 UYG393250 UOK393250 UEO393250 TUS393250 TKW393250 TBA393250 SRE393250 SHI393250 RXM393250 RNQ393250 RDU393250 QTY393250 QKC393250 QAG393250 PQK393250 PGO393250 OWS393250 OMW393250 ODA393250 NTE393250 NJI393250 MZM393250 MPQ393250 MFU393250 LVY393250 LMC393250 LCG393250 KSK393250 KIO393250 JYS393250 JOW393250 JFA393250 IVE393250 ILI393250 IBM393250 HRQ393250 HHU393250 GXY393250 GOC393250 GEG393250 FUK393250 FKO393250 FAS393250 EQW393250 EHA393250 DXE393250 DNI393250 DDM393250 CTQ393250 CJU393250 BZY393250 BQC393250 BGG393250 AWK393250 AMO393250 ACS393250 SW393250 JA393250 E393250 WVM327714 WLQ327714 WBU327714 VRY327714 VIC327714 UYG327714 UOK327714 UEO327714 TUS327714 TKW327714 TBA327714 SRE327714 SHI327714 RXM327714 RNQ327714 RDU327714 QTY327714 QKC327714 QAG327714 PQK327714 PGO327714 OWS327714 OMW327714 ODA327714 NTE327714 NJI327714 MZM327714 MPQ327714 MFU327714 LVY327714 LMC327714 LCG327714 KSK327714 KIO327714 JYS327714 JOW327714 JFA327714 IVE327714 ILI327714 IBM327714 HRQ327714 HHU327714 GXY327714 GOC327714 GEG327714 FUK327714 FKO327714 FAS327714 EQW327714 EHA327714 DXE327714 DNI327714 DDM327714 CTQ327714 CJU327714 BZY327714 BQC327714 BGG327714 AWK327714 AMO327714 ACS327714 SW327714 JA327714 E327714 WVM262178 WLQ262178 WBU262178 VRY262178 VIC262178 UYG262178 UOK262178 UEO262178 TUS262178 TKW262178 TBA262178 SRE262178 SHI262178 RXM262178 RNQ262178 RDU262178 QTY262178 QKC262178 QAG262178 PQK262178 PGO262178 OWS262178 OMW262178 ODA262178 NTE262178 NJI262178 MZM262178 MPQ262178 MFU262178 LVY262178 LMC262178 LCG262178 KSK262178 KIO262178 JYS262178 JOW262178 JFA262178 IVE262178 ILI262178 IBM262178 HRQ262178 HHU262178 GXY262178 GOC262178 GEG262178 FUK262178 FKO262178 FAS262178 EQW262178 EHA262178 DXE262178 DNI262178 DDM262178 CTQ262178 CJU262178 BZY262178 BQC262178 BGG262178 AWK262178 AMO262178 ACS262178 SW262178 JA262178 E262178 WVM196642 WLQ196642 WBU196642 VRY196642 VIC196642 UYG196642 UOK196642 UEO196642 TUS196642 TKW196642 TBA196642 SRE196642 SHI196642 RXM196642 RNQ196642 RDU196642 QTY196642 QKC196642 QAG196642 PQK196642 PGO196642 OWS196642 OMW196642 ODA196642 NTE196642 NJI196642 MZM196642 MPQ196642 MFU196642 LVY196642 LMC196642 LCG196642 KSK196642 KIO196642 JYS196642 JOW196642 JFA196642 IVE196642 ILI196642 IBM196642 HRQ196642 HHU196642 GXY196642 GOC196642 GEG196642 FUK196642 FKO196642 FAS196642 EQW196642 EHA196642 DXE196642 DNI196642 DDM196642 CTQ196642 CJU196642 BZY196642 BQC196642 BGG196642 AWK196642 AMO196642 ACS196642 SW196642 JA196642 E196642 WVM131106 WLQ131106 WBU131106 VRY131106 VIC131106 UYG131106 UOK131106 UEO131106 TUS131106 TKW131106 TBA131106 SRE131106 SHI131106 RXM131106 RNQ131106 RDU131106 QTY131106 QKC131106 QAG131106 PQK131106 PGO131106 OWS131106 OMW131106 ODA131106 NTE131106 NJI131106 MZM131106 MPQ131106 MFU131106 LVY131106 LMC131106 LCG131106 KSK131106 KIO131106 JYS131106 JOW131106 JFA131106 IVE131106 ILI131106 IBM131106 HRQ131106 HHU131106 GXY131106 GOC131106 GEG131106 FUK131106 FKO131106 FAS131106 EQW131106 EHA131106 DXE131106 DNI131106 DDM131106 CTQ131106 CJU131106 BZY131106 BQC131106 BGG131106 AWK131106 AMO131106 ACS131106 SW131106 JA131106 E131106 WVM65570 WLQ65570 WBU65570 VRY65570 VIC65570 UYG65570 UOK65570 UEO65570 TUS65570 TKW65570 TBA65570 SRE65570 SHI65570 RXM65570 RNQ65570 RDU65570 QTY65570 QKC65570 QAG65570 PQK65570 PGO65570 OWS65570 OMW65570 ODA65570 NTE65570 NJI65570 MZM65570 MPQ65570 MFU65570 LVY65570 LMC65570 LCG65570 KSK65570 KIO65570 JYS65570 JOW65570 JFA65570 IVE65570 ILI65570 IBM65570 HRQ65570 HHU65570 GXY65570 GOC65570 GEG65570 FUK65570 FKO65570 FAS65570 EQW65570 EHA65570 DXE65570 DNI65570 DDM65570 CTQ65570 CJU65570 BZY65570 BQC65570 BGG65570 AWK65570 AMO65570 ACS65570 SW65570 JA65570 E65570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xr:uid="{00000000-0002-0000-0000-000005000000}">
      <formula1>$F$43:$F$45</formula1>
    </dataValidation>
    <dataValidation type="list" allowBlank="1" showInputMessage="1" showErrorMessage="1" sqref="E33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xr:uid="{00000000-0002-0000-0000-000006000000}">
      <formula1>$E$43:$E$45</formula1>
    </dataValidation>
    <dataValidation type="list" allowBlank="1" showInputMessage="1" showErrorMessage="1" sqref="E32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xr:uid="{00000000-0002-0000-0000-000007000000}">
      <formula1>$D$43:$D$45</formula1>
    </dataValidation>
    <dataValidation type="list" allowBlank="1" showInputMessage="1" showErrorMessage="1" sqref="REI98306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ROE983065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RYA983065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HW983065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RS983065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TBO98306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TLK983065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TVG983065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UFC983065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UOY983065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UYU98306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VIQ983065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VSM983065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WCI983065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WME983065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WWA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S25 S65561 S131097 S196633 S262169 S327705 S393241 S458777 S524313 S589849 S655385 S720921 S786457 S851993 S917529 S983065" xr:uid="{00000000-0002-0000-0000-000008000000}">
      <formula1>S$24:S$24</formula1>
    </dataValidation>
    <dataValidation type="list" allowBlank="1" showInputMessage="1" showErrorMessage="1" sqref="E10" xr:uid="{1D1F5CFE-A5ED-4C5A-B2CE-AEEF05C52326}">
      <formula1>$W$22:$W$23</formula1>
    </dataValidation>
  </dataValidations>
  <pageMargins left="0.75" right="0.75" top="1" bottom="1" header="0.5" footer="0.5"/>
  <pageSetup paperSize="9" scale="52" orientation="portrait" r:id="rId1"/>
  <headerFooter alignWithMargins="0"/>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F442-C403-4BF9-A803-7E426258261B}">
  <dimension ref="A1:D95"/>
  <sheetViews>
    <sheetView workbookViewId="0">
      <selection activeCell="C2" sqref="C2"/>
    </sheetView>
  </sheetViews>
  <sheetFormatPr defaultRowHeight="14.5" x14ac:dyDescent="0.35"/>
  <cols>
    <col min="4" max="4" width="12.54296875" bestFit="1" customWidth="1"/>
  </cols>
  <sheetData>
    <row r="1" spans="1:4" x14ac:dyDescent="0.35">
      <c r="A1" t="s">
        <v>60</v>
      </c>
      <c r="B1" t="s">
        <v>61</v>
      </c>
      <c r="C1" t="s">
        <v>60</v>
      </c>
      <c r="D1" t="s">
        <v>206</v>
      </c>
    </row>
    <row r="2" spans="1:4" x14ac:dyDescent="0.35">
      <c r="A2">
        <v>93</v>
      </c>
      <c r="B2" t="str">
        <f>Data!A3</f>
        <v>9986</v>
      </c>
      <c r="C2">
        <f>A2</f>
        <v>93</v>
      </c>
      <c r="D2">
        <v>1</v>
      </c>
    </row>
    <row r="3" spans="1:4" x14ac:dyDescent="0.35">
      <c r="A3">
        <v>92</v>
      </c>
      <c r="B3" t="str">
        <f>Data!A4</f>
        <v>Adel Messih</v>
      </c>
      <c r="C3">
        <f t="shared" ref="C3:C66" si="0">A3</f>
        <v>92</v>
      </c>
      <c r="D3">
        <v>2</v>
      </c>
    </row>
    <row r="4" spans="1:4" x14ac:dyDescent="0.35">
      <c r="A4">
        <v>91</v>
      </c>
      <c r="B4" t="str">
        <f>Data!A5</f>
        <v>Bart Simpson</v>
      </c>
      <c r="C4">
        <f t="shared" si="0"/>
        <v>91</v>
      </c>
      <c r="D4">
        <v>3</v>
      </c>
    </row>
    <row r="5" spans="1:4" x14ac:dyDescent="0.35">
      <c r="A5">
        <v>90</v>
      </c>
      <c r="B5" t="str">
        <f>Data!A6</f>
        <v>Big Moose</v>
      </c>
      <c r="C5">
        <f t="shared" si="0"/>
        <v>90</v>
      </c>
      <c r="D5">
        <v>4</v>
      </c>
    </row>
    <row r="6" spans="1:4" x14ac:dyDescent="0.35">
      <c r="A6">
        <v>89</v>
      </c>
      <c r="B6" t="str">
        <f>Data!A7</f>
        <v>BillyB</v>
      </c>
      <c r="C6">
        <f t="shared" si="0"/>
        <v>89</v>
      </c>
      <c r="D6">
        <v>5</v>
      </c>
    </row>
    <row r="7" spans="1:4" x14ac:dyDescent="0.35">
      <c r="A7">
        <v>88</v>
      </c>
      <c r="B7" t="str">
        <f>Data!A8</f>
        <v>blakey94</v>
      </c>
      <c r="C7">
        <f t="shared" si="0"/>
        <v>88</v>
      </c>
      <c r="D7">
        <v>6</v>
      </c>
    </row>
    <row r="8" spans="1:4" x14ac:dyDescent="0.35">
      <c r="A8">
        <v>87</v>
      </c>
      <c r="B8" t="str">
        <f>Data!A9</f>
        <v>Bridie</v>
      </c>
      <c r="C8">
        <f t="shared" si="0"/>
        <v>87</v>
      </c>
      <c r="D8">
        <v>7</v>
      </c>
    </row>
    <row r="9" spans="1:4" x14ac:dyDescent="0.35">
      <c r="A9">
        <v>86</v>
      </c>
      <c r="B9" t="str">
        <f>Data!A10</f>
        <v>Carlos</v>
      </c>
      <c r="C9">
        <f t="shared" si="0"/>
        <v>86</v>
      </c>
      <c r="D9">
        <v>8</v>
      </c>
    </row>
    <row r="10" spans="1:4" x14ac:dyDescent="0.35">
      <c r="A10">
        <v>85</v>
      </c>
      <c r="B10" t="str">
        <f>Data!A11</f>
        <v>Chunka</v>
      </c>
      <c r="C10">
        <f t="shared" si="0"/>
        <v>85</v>
      </c>
      <c r="D10">
        <v>9</v>
      </c>
    </row>
    <row r="11" spans="1:4" x14ac:dyDescent="0.35">
      <c r="A11">
        <v>84</v>
      </c>
      <c r="B11" t="str">
        <f>Data!A12</f>
        <v>Control</v>
      </c>
      <c r="C11">
        <f t="shared" si="0"/>
        <v>84</v>
      </c>
      <c r="D11">
        <v>10</v>
      </c>
    </row>
    <row r="12" spans="1:4" x14ac:dyDescent="0.35">
      <c r="A12">
        <v>83</v>
      </c>
      <c r="B12" t="str">
        <f>Data!A13</f>
        <v>Craig Young's Love Child</v>
      </c>
      <c r="C12">
        <f t="shared" si="0"/>
        <v>83</v>
      </c>
      <c r="D12">
        <v>11</v>
      </c>
    </row>
    <row r="13" spans="1:4" x14ac:dyDescent="0.35">
      <c r="A13">
        <v>82</v>
      </c>
      <c r="B13" t="str">
        <f>Data!A14</f>
        <v>Cruella</v>
      </c>
      <c r="C13">
        <f t="shared" si="0"/>
        <v>82</v>
      </c>
      <c r="D13">
        <v>12</v>
      </c>
    </row>
    <row r="14" spans="1:4" x14ac:dyDescent="0.35">
      <c r="A14">
        <v>81</v>
      </c>
      <c r="B14" t="str">
        <f>Data!A15</f>
        <v>Fouad Khochaiche</v>
      </c>
      <c r="C14">
        <f t="shared" si="0"/>
        <v>81</v>
      </c>
      <c r="D14">
        <v>13</v>
      </c>
    </row>
    <row r="15" spans="1:4" x14ac:dyDescent="0.35">
      <c r="A15">
        <v>80</v>
      </c>
      <c r="B15" t="str">
        <f>Data!A16</f>
        <v>gdadisho</v>
      </c>
      <c r="C15">
        <f t="shared" si="0"/>
        <v>80</v>
      </c>
      <c r="D15">
        <v>14</v>
      </c>
    </row>
    <row r="16" spans="1:4" x14ac:dyDescent="0.35">
      <c r="A16">
        <v>79</v>
      </c>
      <c r="B16" t="str">
        <f>Data!A17</f>
        <v>Guru2810</v>
      </c>
      <c r="C16">
        <f t="shared" si="0"/>
        <v>79</v>
      </c>
      <c r="D16">
        <v>15</v>
      </c>
    </row>
    <row r="17" spans="1:4" x14ac:dyDescent="0.35">
      <c r="A17">
        <v>78</v>
      </c>
      <c r="B17" t="str">
        <f>Data!A18</f>
        <v>I miss Benji</v>
      </c>
      <c r="C17">
        <f t="shared" si="0"/>
        <v>78</v>
      </c>
      <c r="D17">
        <v>16</v>
      </c>
    </row>
    <row r="18" spans="1:4" x14ac:dyDescent="0.35">
      <c r="A18">
        <v>77</v>
      </c>
      <c r="B18" t="str">
        <f>Data!A19</f>
        <v>isha68</v>
      </c>
      <c r="C18">
        <f t="shared" si="0"/>
        <v>77</v>
      </c>
      <c r="D18">
        <v>17</v>
      </c>
    </row>
    <row r="19" spans="1:4" x14ac:dyDescent="0.35">
      <c r="A19">
        <v>76</v>
      </c>
      <c r="B19" t="str">
        <f>Data!A20</f>
        <v>iTerry</v>
      </c>
      <c r="C19">
        <f t="shared" si="0"/>
        <v>76</v>
      </c>
      <c r="D19">
        <v>18</v>
      </c>
    </row>
    <row r="20" spans="1:4" x14ac:dyDescent="0.35">
      <c r="A20">
        <v>75</v>
      </c>
      <c r="B20" t="str">
        <f>Data!A21</f>
        <v>Krusty</v>
      </c>
      <c r="C20">
        <f t="shared" si="0"/>
        <v>75</v>
      </c>
      <c r="D20">
        <v>19</v>
      </c>
    </row>
    <row r="21" spans="1:4" x14ac:dyDescent="0.35">
      <c r="A21">
        <v>74</v>
      </c>
      <c r="B21" t="str">
        <f>Data!A22</f>
        <v>Lou</v>
      </c>
      <c r="C21">
        <f t="shared" si="0"/>
        <v>74</v>
      </c>
      <c r="D21">
        <v>20</v>
      </c>
    </row>
    <row r="22" spans="1:4" x14ac:dyDescent="0.35">
      <c r="A22">
        <v>73</v>
      </c>
      <c r="B22" t="str">
        <f>Data!A23</f>
        <v>Lukebrooksbiggestfan</v>
      </c>
      <c r="C22">
        <f t="shared" si="0"/>
        <v>73</v>
      </c>
      <c r="D22">
        <v>21</v>
      </c>
    </row>
    <row r="23" spans="1:4" x14ac:dyDescent="0.35">
      <c r="A23">
        <v>72</v>
      </c>
      <c r="B23" t="str">
        <f>Data!A24</f>
        <v>Magnum</v>
      </c>
      <c r="C23">
        <f t="shared" si="0"/>
        <v>72</v>
      </c>
      <c r="D23">
        <v>22</v>
      </c>
    </row>
    <row r="24" spans="1:4" x14ac:dyDescent="0.35">
      <c r="A24">
        <v>71</v>
      </c>
      <c r="B24" t="str">
        <f>Data!A25</f>
        <v>Matt Brownie</v>
      </c>
      <c r="C24">
        <f t="shared" si="0"/>
        <v>71</v>
      </c>
      <c r="D24">
        <v>23</v>
      </c>
    </row>
    <row r="25" spans="1:4" x14ac:dyDescent="0.35">
      <c r="A25">
        <v>70</v>
      </c>
      <c r="B25" t="str">
        <f>Data!A26</f>
        <v>MB</v>
      </c>
      <c r="C25">
        <f t="shared" si="0"/>
        <v>70</v>
      </c>
      <c r="D25">
        <v>24</v>
      </c>
    </row>
    <row r="26" spans="1:4" x14ac:dyDescent="0.35">
      <c r="A26">
        <v>69</v>
      </c>
      <c r="B26" t="str">
        <f>Data!A27</f>
        <v>Micrider</v>
      </c>
      <c r="C26">
        <f t="shared" si="0"/>
        <v>69</v>
      </c>
      <c r="D26">
        <v>25</v>
      </c>
    </row>
    <row r="27" spans="1:4" x14ac:dyDescent="0.35">
      <c r="A27">
        <v>68</v>
      </c>
      <c r="B27" t="str">
        <f>Data!A28</f>
        <v>MJP181</v>
      </c>
      <c r="C27">
        <f t="shared" si="0"/>
        <v>68</v>
      </c>
      <c r="D27">
        <v>26</v>
      </c>
    </row>
    <row r="28" spans="1:4" x14ac:dyDescent="0.35">
      <c r="A28">
        <v>67</v>
      </c>
      <c r="B28" t="str">
        <f>Data!A29</f>
        <v>MLC</v>
      </c>
      <c r="C28">
        <f t="shared" si="0"/>
        <v>67</v>
      </c>
      <c r="D28">
        <v>27</v>
      </c>
    </row>
    <row r="29" spans="1:4" x14ac:dyDescent="0.35">
      <c r="A29">
        <v>66</v>
      </c>
      <c r="B29" t="str">
        <f>Data!A30</f>
        <v>MR. TAYLOR</v>
      </c>
      <c r="C29">
        <f t="shared" si="0"/>
        <v>66</v>
      </c>
      <c r="D29">
        <v>28</v>
      </c>
    </row>
    <row r="30" spans="1:4" x14ac:dyDescent="0.35">
      <c r="A30">
        <v>65</v>
      </c>
      <c r="B30" t="str">
        <f>Data!A31</f>
        <v>murch</v>
      </c>
      <c r="C30">
        <f t="shared" si="0"/>
        <v>65</v>
      </c>
      <c r="D30">
        <v>29</v>
      </c>
    </row>
    <row r="31" spans="1:4" x14ac:dyDescent="0.35">
      <c r="A31">
        <v>64</v>
      </c>
      <c r="B31" t="str">
        <f>Data!A32</f>
        <v>Neville</v>
      </c>
      <c r="C31">
        <f t="shared" si="0"/>
        <v>64</v>
      </c>
      <c r="D31">
        <v>30</v>
      </c>
    </row>
    <row r="32" spans="1:4" x14ac:dyDescent="0.35">
      <c r="A32">
        <v>63</v>
      </c>
      <c r="B32" t="str">
        <f>Data!A33</f>
        <v>NotLast</v>
      </c>
      <c r="C32">
        <f t="shared" si="0"/>
        <v>63</v>
      </c>
      <c r="D32">
        <v>31</v>
      </c>
    </row>
    <row r="33" spans="1:4" x14ac:dyDescent="0.35">
      <c r="A33">
        <v>62</v>
      </c>
      <c r="B33" t="str">
        <f>Data!A34</f>
        <v>Pablo</v>
      </c>
      <c r="C33">
        <f t="shared" si="0"/>
        <v>62</v>
      </c>
      <c r="D33">
        <v>32</v>
      </c>
    </row>
    <row r="34" spans="1:4" x14ac:dyDescent="0.35">
      <c r="A34">
        <v>61</v>
      </c>
      <c r="B34" t="str">
        <f>Data!A35</f>
        <v>Panthers29</v>
      </c>
      <c r="C34">
        <f t="shared" si="0"/>
        <v>61</v>
      </c>
      <c r="D34">
        <v>33</v>
      </c>
    </row>
    <row r="35" spans="1:4" x14ac:dyDescent="0.35">
      <c r="A35">
        <v>60</v>
      </c>
      <c r="B35" t="str">
        <f>Data!A36</f>
        <v>Ramin Dadisho</v>
      </c>
      <c r="C35">
        <f t="shared" si="0"/>
        <v>60</v>
      </c>
      <c r="D35">
        <v>34</v>
      </c>
    </row>
    <row r="36" spans="1:4" x14ac:dyDescent="0.35">
      <c r="A36">
        <v>59</v>
      </c>
      <c r="B36" t="str">
        <f>Data!A37</f>
        <v>Robert Cook</v>
      </c>
      <c r="C36">
        <f t="shared" si="0"/>
        <v>59</v>
      </c>
      <c r="D36">
        <v>35</v>
      </c>
    </row>
    <row r="37" spans="1:4" x14ac:dyDescent="0.35">
      <c r="A37">
        <v>58</v>
      </c>
      <c r="B37" t="str">
        <f>Data!A38</f>
        <v>Rossco the Pom</v>
      </c>
      <c r="C37">
        <f t="shared" si="0"/>
        <v>58</v>
      </c>
      <c r="D37">
        <v>36</v>
      </c>
    </row>
    <row r="38" spans="1:4" x14ac:dyDescent="0.35">
      <c r="A38">
        <v>57</v>
      </c>
      <c r="B38" t="str">
        <f>Data!A39</f>
        <v>Runner</v>
      </c>
      <c r="C38">
        <f t="shared" si="0"/>
        <v>57</v>
      </c>
      <c r="D38">
        <v>37</v>
      </c>
    </row>
    <row r="39" spans="1:4" x14ac:dyDescent="0.35">
      <c r="A39">
        <v>56</v>
      </c>
      <c r="B39" t="str">
        <f>Data!A40</f>
        <v>Seano</v>
      </c>
      <c r="C39">
        <f t="shared" si="0"/>
        <v>56</v>
      </c>
      <c r="D39">
        <v>38</v>
      </c>
    </row>
    <row r="40" spans="1:4" x14ac:dyDescent="0.35">
      <c r="A40">
        <v>55</v>
      </c>
      <c r="B40" t="str">
        <f>Data!A41</f>
        <v>Shagger</v>
      </c>
      <c r="C40">
        <f t="shared" si="0"/>
        <v>55</v>
      </c>
      <c r="D40">
        <v>39</v>
      </c>
    </row>
    <row r="41" spans="1:4" x14ac:dyDescent="0.35">
      <c r="A41">
        <v>54</v>
      </c>
      <c r="B41" t="str">
        <f>Data!A42</f>
        <v>SMOG</v>
      </c>
      <c r="C41">
        <f t="shared" si="0"/>
        <v>54</v>
      </c>
      <c r="D41">
        <v>40</v>
      </c>
    </row>
    <row r="42" spans="1:4" x14ac:dyDescent="0.35">
      <c r="A42">
        <v>53</v>
      </c>
      <c r="B42" t="str">
        <f>Data!A43</f>
        <v>Splinter</v>
      </c>
      <c r="C42">
        <f t="shared" si="0"/>
        <v>53</v>
      </c>
      <c r="D42">
        <v>41</v>
      </c>
    </row>
    <row r="43" spans="1:4" x14ac:dyDescent="0.35">
      <c r="A43">
        <v>52</v>
      </c>
      <c r="B43" t="str">
        <f>Data!A44</f>
        <v>Stallion</v>
      </c>
      <c r="C43">
        <f t="shared" si="0"/>
        <v>52</v>
      </c>
      <c r="D43">
        <v>42</v>
      </c>
    </row>
    <row r="44" spans="1:4" x14ac:dyDescent="0.35">
      <c r="A44">
        <v>51</v>
      </c>
      <c r="B44" t="str">
        <f>Data!A45</f>
        <v>The Creator</v>
      </c>
      <c r="C44">
        <f t="shared" si="0"/>
        <v>51</v>
      </c>
      <c r="D44">
        <v>43</v>
      </c>
    </row>
    <row r="45" spans="1:4" x14ac:dyDescent="0.35">
      <c r="A45">
        <v>50</v>
      </c>
      <c r="B45" t="str">
        <f>Data!A46</f>
        <v>TheZipZipMan</v>
      </c>
      <c r="C45">
        <f t="shared" si="0"/>
        <v>50</v>
      </c>
      <c r="D45">
        <v>44</v>
      </c>
    </row>
    <row r="46" spans="1:4" x14ac:dyDescent="0.35">
      <c r="A46">
        <v>49</v>
      </c>
      <c r="B46" t="str">
        <f>Data!A47</f>
        <v>Timbo</v>
      </c>
      <c r="C46">
        <f t="shared" si="0"/>
        <v>49</v>
      </c>
      <c r="D46">
        <v>45</v>
      </c>
    </row>
    <row r="47" spans="1:4" x14ac:dyDescent="0.35">
      <c r="A47">
        <v>48</v>
      </c>
      <c r="B47" t="str">
        <f>Data!A48</f>
        <v>UpthePamfers</v>
      </c>
      <c r="C47">
        <f t="shared" si="0"/>
        <v>48</v>
      </c>
      <c r="D47">
        <v>46</v>
      </c>
    </row>
    <row r="48" spans="1:4" x14ac:dyDescent="0.35">
      <c r="A48">
        <v>47</v>
      </c>
      <c r="B48" t="str">
        <f>Data!A49</f>
        <v>Westy</v>
      </c>
      <c r="C48">
        <f t="shared" si="0"/>
        <v>47</v>
      </c>
      <c r="D48">
        <v>47</v>
      </c>
    </row>
    <row r="49" spans="1:4" x14ac:dyDescent="0.35">
      <c r="A49">
        <v>46</v>
      </c>
      <c r="B49" t="str">
        <f>Data!A50</f>
        <v>Wiley C</v>
      </c>
      <c r="C49">
        <f t="shared" si="0"/>
        <v>46</v>
      </c>
      <c r="D49">
        <v>48</v>
      </c>
    </row>
    <row r="50" spans="1:4" x14ac:dyDescent="0.35">
      <c r="A50">
        <v>45</v>
      </c>
      <c r="B50" t="str">
        <f>Data!A51</f>
        <v>Yackas</v>
      </c>
      <c r="C50">
        <f t="shared" si="0"/>
        <v>45</v>
      </c>
      <c r="D50">
        <v>49</v>
      </c>
    </row>
    <row r="51" spans="1:4" x14ac:dyDescent="0.35">
      <c r="A51">
        <v>44</v>
      </c>
      <c r="B51" t="str">
        <f>Data!A52</f>
        <v>Slave1</v>
      </c>
      <c r="C51">
        <f t="shared" si="0"/>
        <v>44</v>
      </c>
      <c r="D51">
        <v>50</v>
      </c>
    </row>
    <row r="52" spans="1:4" x14ac:dyDescent="0.35">
      <c r="A52">
        <v>43</v>
      </c>
      <c r="B52" t="str">
        <f>Data!A53</f>
        <v>ZZZZZZ Suspend</v>
      </c>
      <c r="C52">
        <f t="shared" si="0"/>
        <v>43</v>
      </c>
      <c r="D52">
        <v>51</v>
      </c>
    </row>
    <row r="53" spans="1:4" x14ac:dyDescent="0.35">
      <c r="A53">
        <v>42</v>
      </c>
      <c r="B53" t="str">
        <f>Data!A54</f>
        <v>ZZZZZZ Suspend</v>
      </c>
      <c r="C53">
        <f t="shared" si="0"/>
        <v>42</v>
      </c>
      <c r="D53">
        <v>52</v>
      </c>
    </row>
    <row r="54" spans="1:4" x14ac:dyDescent="0.35">
      <c r="A54">
        <v>41</v>
      </c>
      <c r="B54" t="str">
        <f>Data!A55</f>
        <v>ZZZZZZ Suspend</v>
      </c>
      <c r="C54">
        <f t="shared" si="0"/>
        <v>41</v>
      </c>
      <c r="D54">
        <v>53</v>
      </c>
    </row>
    <row r="55" spans="1:4" x14ac:dyDescent="0.35">
      <c r="A55">
        <v>40</v>
      </c>
      <c r="B55" t="str">
        <f>Data!A56</f>
        <v>ZZZZZZ Suspend</v>
      </c>
      <c r="C55">
        <f t="shared" si="0"/>
        <v>40</v>
      </c>
      <c r="D55">
        <v>54</v>
      </c>
    </row>
    <row r="56" spans="1:4" x14ac:dyDescent="0.35">
      <c r="A56">
        <v>39</v>
      </c>
      <c r="B56" t="str">
        <f>Data!A57</f>
        <v>ZZZZZZ Suspend</v>
      </c>
      <c r="C56">
        <f t="shared" si="0"/>
        <v>39</v>
      </c>
      <c r="D56">
        <v>55</v>
      </c>
    </row>
    <row r="57" spans="1:4" x14ac:dyDescent="0.35">
      <c r="A57">
        <v>38</v>
      </c>
      <c r="B57" t="str">
        <f>Data!A58</f>
        <v>ZZZZZZ Suspend</v>
      </c>
      <c r="C57">
        <f t="shared" si="0"/>
        <v>38</v>
      </c>
      <c r="D57">
        <v>56</v>
      </c>
    </row>
    <row r="58" spans="1:4" x14ac:dyDescent="0.35">
      <c r="A58">
        <v>37</v>
      </c>
      <c r="B58" t="str">
        <f>Data!A59</f>
        <v>ZZZZZZ Suspend</v>
      </c>
      <c r="C58">
        <f t="shared" si="0"/>
        <v>37</v>
      </c>
      <c r="D58">
        <v>57</v>
      </c>
    </row>
    <row r="59" spans="1:4" x14ac:dyDescent="0.35">
      <c r="A59">
        <v>36</v>
      </c>
      <c r="B59" t="str">
        <f>Data!A60</f>
        <v>ZZZZZZ Suspend</v>
      </c>
      <c r="C59">
        <f t="shared" si="0"/>
        <v>36</v>
      </c>
      <c r="D59">
        <v>58</v>
      </c>
    </row>
    <row r="60" spans="1:4" x14ac:dyDescent="0.35">
      <c r="A60">
        <v>26</v>
      </c>
      <c r="B60" t="str">
        <f>Data!A61</f>
        <v>ZZZZZZ Suspend</v>
      </c>
      <c r="C60">
        <f t="shared" si="0"/>
        <v>26</v>
      </c>
      <c r="D60">
        <v>59</v>
      </c>
    </row>
    <row r="61" spans="1:4" x14ac:dyDescent="0.35">
      <c r="A61">
        <v>35</v>
      </c>
      <c r="B61" t="str">
        <f>Data!A62</f>
        <v>ZZZZZZ Suspend</v>
      </c>
      <c r="C61">
        <f t="shared" si="0"/>
        <v>35</v>
      </c>
      <c r="D61">
        <v>60</v>
      </c>
    </row>
    <row r="62" spans="1:4" x14ac:dyDescent="0.35">
      <c r="A62">
        <v>34</v>
      </c>
      <c r="B62" t="str">
        <f>Data!A63</f>
        <v>ZZZZZZ Suspend</v>
      </c>
      <c r="C62">
        <f t="shared" si="0"/>
        <v>34</v>
      </c>
      <c r="D62">
        <v>61</v>
      </c>
    </row>
    <row r="63" spans="1:4" x14ac:dyDescent="0.35">
      <c r="A63">
        <v>33</v>
      </c>
      <c r="B63" t="str">
        <f>Data!A64</f>
        <v>ZZZZZZ Suspend</v>
      </c>
      <c r="C63">
        <f t="shared" si="0"/>
        <v>33</v>
      </c>
      <c r="D63">
        <v>62</v>
      </c>
    </row>
    <row r="64" spans="1:4" x14ac:dyDescent="0.35">
      <c r="A64">
        <v>32</v>
      </c>
      <c r="B64" t="str">
        <f>Data!A65</f>
        <v>ZZZZZZ Suspend</v>
      </c>
      <c r="C64">
        <f t="shared" si="0"/>
        <v>32</v>
      </c>
      <c r="D64">
        <v>63</v>
      </c>
    </row>
    <row r="65" spans="1:4" x14ac:dyDescent="0.35">
      <c r="A65">
        <v>31</v>
      </c>
      <c r="B65" t="str">
        <f>Data!A66</f>
        <v>ZZZZZZ Suspend</v>
      </c>
      <c r="C65">
        <f t="shared" si="0"/>
        <v>31</v>
      </c>
      <c r="D65">
        <v>64</v>
      </c>
    </row>
    <row r="66" spans="1:4" x14ac:dyDescent="0.35">
      <c r="A66">
        <v>30</v>
      </c>
      <c r="B66" t="str">
        <f>Data!A67</f>
        <v>ZZZZZZ Suspend</v>
      </c>
      <c r="C66">
        <f t="shared" si="0"/>
        <v>30</v>
      </c>
      <c r="D66">
        <v>65</v>
      </c>
    </row>
    <row r="67" spans="1:4" x14ac:dyDescent="0.35">
      <c r="A67">
        <v>29</v>
      </c>
      <c r="B67" t="str">
        <f>Data!A68</f>
        <v>ZZZZZZ Suspend</v>
      </c>
      <c r="C67">
        <f t="shared" ref="C67:C95" si="1">A67</f>
        <v>29</v>
      </c>
      <c r="D67">
        <v>66</v>
      </c>
    </row>
    <row r="68" spans="1:4" x14ac:dyDescent="0.35">
      <c r="A68">
        <v>28</v>
      </c>
      <c r="B68" t="str">
        <f>Data!A69</f>
        <v>ZZZZZZ Suspend</v>
      </c>
      <c r="C68">
        <f t="shared" si="1"/>
        <v>28</v>
      </c>
      <c r="D68">
        <v>67</v>
      </c>
    </row>
    <row r="69" spans="1:4" x14ac:dyDescent="0.35">
      <c r="A69">
        <v>27</v>
      </c>
      <c r="B69" t="str">
        <f>Data!A70</f>
        <v>ZZZZZZ Suspend</v>
      </c>
      <c r="C69">
        <f t="shared" si="1"/>
        <v>27</v>
      </c>
      <c r="D69">
        <v>68</v>
      </c>
    </row>
    <row r="70" spans="1:4" x14ac:dyDescent="0.35">
      <c r="A70">
        <v>25</v>
      </c>
      <c r="B70" t="str">
        <f>Data!A71</f>
        <v>ZZZZZZ Suspend</v>
      </c>
      <c r="C70">
        <f t="shared" si="1"/>
        <v>25</v>
      </c>
      <c r="D70">
        <v>69</v>
      </c>
    </row>
    <row r="71" spans="1:4" x14ac:dyDescent="0.35">
      <c r="A71">
        <v>24</v>
      </c>
      <c r="B71" t="str">
        <f>Data!A72</f>
        <v>ZZZZZZ Suspend</v>
      </c>
      <c r="C71">
        <f t="shared" si="1"/>
        <v>24</v>
      </c>
      <c r="D71">
        <v>70</v>
      </c>
    </row>
    <row r="72" spans="1:4" x14ac:dyDescent="0.35">
      <c r="A72">
        <v>23</v>
      </c>
      <c r="B72" t="str">
        <f>Data!A73</f>
        <v>ZZZZZZ Suspend</v>
      </c>
      <c r="C72">
        <f t="shared" si="1"/>
        <v>23</v>
      </c>
      <c r="D72">
        <v>71</v>
      </c>
    </row>
    <row r="73" spans="1:4" x14ac:dyDescent="0.35">
      <c r="A73">
        <v>22</v>
      </c>
      <c r="B73" t="str">
        <f>Data!A74</f>
        <v>ZZZZZZ Suspend</v>
      </c>
      <c r="C73">
        <f t="shared" si="1"/>
        <v>22</v>
      </c>
      <c r="D73">
        <v>72</v>
      </c>
    </row>
    <row r="74" spans="1:4" x14ac:dyDescent="0.35">
      <c r="A74">
        <v>21</v>
      </c>
      <c r="B74" t="str">
        <f>Data!A75</f>
        <v>ZZZZZZ Suspend</v>
      </c>
      <c r="C74">
        <f t="shared" si="1"/>
        <v>21</v>
      </c>
      <c r="D74">
        <v>73</v>
      </c>
    </row>
    <row r="75" spans="1:4" x14ac:dyDescent="0.35">
      <c r="A75">
        <v>20</v>
      </c>
      <c r="B75" t="str">
        <f>Data!A76</f>
        <v>ZZZZZZ Suspend</v>
      </c>
      <c r="C75">
        <f t="shared" si="1"/>
        <v>20</v>
      </c>
      <c r="D75">
        <v>74</v>
      </c>
    </row>
    <row r="76" spans="1:4" x14ac:dyDescent="0.35">
      <c r="A76">
        <v>19</v>
      </c>
      <c r="B76" t="str">
        <f>Data!A77</f>
        <v>ZZZZZZ Suspend</v>
      </c>
      <c r="C76">
        <f t="shared" si="1"/>
        <v>19</v>
      </c>
      <c r="D76">
        <v>75</v>
      </c>
    </row>
    <row r="77" spans="1:4" x14ac:dyDescent="0.35">
      <c r="A77">
        <v>18</v>
      </c>
      <c r="B77" t="str">
        <f>Data!A78</f>
        <v>ZZZZZZ Suspend</v>
      </c>
      <c r="C77">
        <f t="shared" si="1"/>
        <v>18</v>
      </c>
      <c r="D77">
        <v>76</v>
      </c>
    </row>
    <row r="78" spans="1:4" x14ac:dyDescent="0.35">
      <c r="A78">
        <v>17</v>
      </c>
      <c r="B78" t="str">
        <f>Data!A79</f>
        <v>ZZZZZZ Suspend</v>
      </c>
      <c r="C78">
        <f t="shared" si="1"/>
        <v>17</v>
      </c>
      <c r="D78">
        <v>77</v>
      </c>
    </row>
    <row r="79" spans="1:4" x14ac:dyDescent="0.35">
      <c r="A79">
        <v>12</v>
      </c>
      <c r="B79" t="str">
        <f>Data!A80</f>
        <v>ZZZZZZ Suspend</v>
      </c>
      <c r="C79">
        <f t="shared" si="1"/>
        <v>12</v>
      </c>
      <c r="D79">
        <v>78</v>
      </c>
    </row>
    <row r="80" spans="1:4" x14ac:dyDescent="0.35">
      <c r="A80">
        <v>15</v>
      </c>
      <c r="B80" t="str">
        <f>Data!A81</f>
        <v>ZZZZZZ Suspend</v>
      </c>
      <c r="C80">
        <f t="shared" si="1"/>
        <v>15</v>
      </c>
      <c r="D80">
        <v>79</v>
      </c>
    </row>
    <row r="81" spans="1:4" x14ac:dyDescent="0.35">
      <c r="A81">
        <v>11</v>
      </c>
      <c r="B81" t="str">
        <f>Data!A82</f>
        <v>ZZZZZZ Suspend</v>
      </c>
      <c r="C81">
        <f t="shared" si="1"/>
        <v>11</v>
      </c>
      <c r="D81">
        <v>80</v>
      </c>
    </row>
    <row r="82" spans="1:4" x14ac:dyDescent="0.35">
      <c r="A82">
        <v>14</v>
      </c>
      <c r="B82" t="str">
        <f>Data!A83</f>
        <v>ZZZZZZ Suspend</v>
      </c>
      <c r="C82">
        <f t="shared" si="1"/>
        <v>14</v>
      </c>
      <c r="D82">
        <v>81</v>
      </c>
    </row>
    <row r="83" spans="1:4" x14ac:dyDescent="0.35">
      <c r="A83">
        <v>16</v>
      </c>
      <c r="B83" t="str">
        <f>Data!A84</f>
        <v>ZZZZZZ Suspend</v>
      </c>
      <c r="C83">
        <f t="shared" si="1"/>
        <v>16</v>
      </c>
      <c r="D83">
        <v>82</v>
      </c>
    </row>
    <row r="84" spans="1:4" x14ac:dyDescent="0.35">
      <c r="A84">
        <v>13</v>
      </c>
      <c r="B84" t="str">
        <f>Data!A85</f>
        <v>ZZZZZZ Suspend</v>
      </c>
      <c r="C84">
        <f t="shared" si="1"/>
        <v>13</v>
      </c>
      <c r="D84">
        <v>83</v>
      </c>
    </row>
    <row r="85" spans="1:4" x14ac:dyDescent="0.35">
      <c r="A85">
        <v>10</v>
      </c>
      <c r="B85" t="str">
        <f>Data!A86</f>
        <v>ZZZZZZ Suspend</v>
      </c>
      <c r="C85">
        <f t="shared" si="1"/>
        <v>10</v>
      </c>
      <c r="D85">
        <v>84</v>
      </c>
    </row>
    <row r="86" spans="1:4" x14ac:dyDescent="0.35">
      <c r="A86">
        <v>8</v>
      </c>
      <c r="B86" t="str">
        <f>Data!A87</f>
        <v>ZZZZZZ Suspend</v>
      </c>
      <c r="C86">
        <f t="shared" si="1"/>
        <v>8</v>
      </c>
      <c r="D86">
        <v>85</v>
      </c>
    </row>
    <row r="87" spans="1:4" x14ac:dyDescent="0.35">
      <c r="A87">
        <v>7</v>
      </c>
      <c r="B87" t="str">
        <f>Data!A88</f>
        <v>ZZZZZZ Suspend</v>
      </c>
      <c r="C87">
        <f t="shared" si="1"/>
        <v>7</v>
      </c>
      <c r="D87">
        <v>86</v>
      </c>
    </row>
    <row r="88" spans="1:4" x14ac:dyDescent="0.35">
      <c r="A88">
        <v>6</v>
      </c>
      <c r="B88" t="str">
        <f>Data!A89</f>
        <v>ZZZZZZ Suspend</v>
      </c>
      <c r="C88">
        <f t="shared" si="1"/>
        <v>6</v>
      </c>
      <c r="D88">
        <v>87</v>
      </c>
    </row>
    <row r="89" spans="1:4" x14ac:dyDescent="0.35">
      <c r="A89">
        <v>4</v>
      </c>
      <c r="B89" t="str">
        <f>Data!A90</f>
        <v>ZZZZZZ Suspend</v>
      </c>
      <c r="C89">
        <f t="shared" si="1"/>
        <v>4</v>
      </c>
      <c r="D89">
        <v>88</v>
      </c>
    </row>
    <row r="90" spans="1:4" x14ac:dyDescent="0.35">
      <c r="A90">
        <v>3</v>
      </c>
      <c r="B90" t="str">
        <f>Data!A91</f>
        <v>ZZZZZZ Suspend</v>
      </c>
      <c r="C90">
        <f t="shared" si="1"/>
        <v>3</v>
      </c>
      <c r="D90">
        <v>89</v>
      </c>
    </row>
    <row r="91" spans="1:4" x14ac:dyDescent="0.35">
      <c r="A91">
        <v>2</v>
      </c>
      <c r="B91" t="str">
        <f>Data!A92</f>
        <v>ZZZZZZ Suspend</v>
      </c>
      <c r="C91">
        <f t="shared" si="1"/>
        <v>2</v>
      </c>
      <c r="D91">
        <v>90</v>
      </c>
    </row>
    <row r="92" spans="1:4" x14ac:dyDescent="0.35">
      <c r="A92">
        <v>1</v>
      </c>
      <c r="B92" t="str">
        <f>Data!A93</f>
        <v>ZZZZZZ Suspend</v>
      </c>
      <c r="C92">
        <f t="shared" si="1"/>
        <v>1</v>
      </c>
      <c r="D92">
        <v>91</v>
      </c>
    </row>
    <row r="93" spans="1:4" x14ac:dyDescent="0.35">
      <c r="A93">
        <v>9</v>
      </c>
      <c r="B93" t="str">
        <f>Data!A94</f>
        <v>ZZZZZZ Suspend</v>
      </c>
      <c r="C93">
        <f t="shared" si="1"/>
        <v>9</v>
      </c>
      <c r="D93">
        <v>92</v>
      </c>
    </row>
    <row r="94" spans="1:4" x14ac:dyDescent="0.35">
      <c r="A94">
        <v>5</v>
      </c>
      <c r="B94" t="str">
        <f>Data!A95</f>
        <v>ZZZZZZ Suspend</v>
      </c>
      <c r="C94">
        <f t="shared" si="1"/>
        <v>5</v>
      </c>
      <c r="D94">
        <v>93</v>
      </c>
    </row>
    <row r="95" spans="1:4" x14ac:dyDescent="0.35">
      <c r="A95">
        <v>999</v>
      </c>
      <c r="B95" t="str">
        <f>Data!A96</f>
        <v>***Footy Tipper***</v>
      </c>
      <c r="C95">
        <f t="shared" si="1"/>
        <v>999</v>
      </c>
      <c r="D95">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B72"/>
  <sheetViews>
    <sheetView showGridLines="0" showRowColHeaders="0" zoomScaleNormal="100" workbookViewId="0">
      <selection activeCell="C7" sqref="C7"/>
    </sheetView>
  </sheetViews>
  <sheetFormatPr defaultColWidth="8.7265625" defaultRowHeight="14.5" x14ac:dyDescent="0.35"/>
  <cols>
    <col min="1" max="1" width="2.36328125" style="58" customWidth="1"/>
    <col min="2" max="2" width="12.08984375" style="60" customWidth="1"/>
    <col min="3" max="3" width="6.36328125" style="60" customWidth="1"/>
    <col min="4" max="4" width="6.6328125" style="60" customWidth="1"/>
    <col min="5" max="5" width="23.6328125" style="60" customWidth="1"/>
    <col min="6" max="6" width="3.453125" style="60" customWidth="1"/>
    <col min="7" max="7" width="7.81640625" style="60" bestFit="1" customWidth="1"/>
    <col min="8" max="8" width="6.90625" style="60" customWidth="1"/>
    <col min="9" max="9" width="2.08984375" style="60" customWidth="1"/>
    <col min="10" max="10" width="12.1796875" style="60" bestFit="1" customWidth="1"/>
    <col min="11" max="11" width="3.453125" style="59" customWidth="1"/>
    <col min="12" max="12" width="9.26953125" style="59" customWidth="1"/>
    <col min="13" max="13" width="3.36328125" style="60" customWidth="1"/>
    <col min="14" max="14" width="9.08984375" style="60" customWidth="1"/>
    <col min="15" max="15" width="6.1796875" style="74" customWidth="1"/>
    <col min="16" max="16" width="9.26953125" style="81" hidden="1" customWidth="1"/>
    <col min="17" max="28" width="8.7265625" style="81" hidden="1" customWidth="1"/>
    <col min="29" max="16384" width="8.7265625" style="61"/>
  </cols>
  <sheetData>
    <row r="1" spans="1:28" ht="79" customHeight="1" x14ac:dyDescent="0.35">
      <c r="B1" s="128" t="s">
        <v>149</v>
      </c>
      <c r="C1" s="128"/>
      <c r="D1" s="128"/>
      <c r="E1" s="128"/>
      <c r="F1" s="128"/>
      <c r="G1" s="128"/>
      <c r="H1" s="128"/>
      <c r="I1" s="128"/>
      <c r="J1" s="128"/>
      <c r="K1" s="128"/>
      <c r="L1" s="128"/>
      <c r="M1" s="128"/>
      <c r="N1" s="128"/>
      <c r="O1" s="128"/>
      <c r="P1" s="90"/>
      <c r="Q1" s="90"/>
    </row>
    <row r="2" spans="1:28" ht="21.5" customHeight="1" x14ac:dyDescent="0.35">
      <c r="B2" s="59" t="s">
        <v>22</v>
      </c>
      <c r="G2" s="78" t="s">
        <v>74</v>
      </c>
      <c r="H2" s="79"/>
      <c r="I2" s="79"/>
      <c r="J2" s="79"/>
      <c r="K2" s="78"/>
      <c r="L2" s="78"/>
      <c r="M2" s="79"/>
      <c r="N2" s="79"/>
    </row>
    <row r="3" spans="1:28" ht="15" thickBot="1" x14ac:dyDescent="0.4">
      <c r="B3" s="62" t="s">
        <v>7</v>
      </c>
      <c r="C3" s="141" t="s">
        <v>22</v>
      </c>
      <c r="D3" s="141"/>
      <c r="E3" s="62" t="s">
        <v>8</v>
      </c>
      <c r="G3" s="143" t="s">
        <v>75</v>
      </c>
      <c r="H3" s="143"/>
      <c r="I3" s="79"/>
      <c r="K3" s="80"/>
      <c r="L3" s="143" t="s">
        <v>67</v>
      </c>
      <c r="M3" s="143"/>
      <c r="N3" s="143"/>
      <c r="O3" s="77"/>
      <c r="P3" s="79" t="s">
        <v>9</v>
      </c>
      <c r="Q3" s="79" t="s">
        <v>12</v>
      </c>
      <c r="R3" s="91" t="s">
        <v>14</v>
      </c>
      <c r="S3" s="81" t="s">
        <v>102</v>
      </c>
      <c r="T3" s="81">
        <f>Data!S3</f>
        <v>8</v>
      </c>
    </row>
    <row r="4" spans="1:28" ht="15" thickBot="1" x14ac:dyDescent="0.4">
      <c r="A4" s="58">
        <v>1</v>
      </c>
      <c r="B4" s="2" t="str">
        <f>Data!O3</f>
        <v>Raiders</v>
      </c>
      <c r="C4" s="73">
        <v>10</v>
      </c>
      <c r="D4" s="73">
        <v>14</v>
      </c>
      <c r="E4" s="2" t="str">
        <f>Data!P3</f>
        <v>Bulldogs</v>
      </c>
      <c r="G4" s="144"/>
      <c r="H4" s="145"/>
      <c r="I4" s="145"/>
      <c r="J4" s="146"/>
      <c r="L4" s="64" t="str">
        <f>IF(P13="","",VLOOKUP($P13,$P13:$AB13,3,FALSE))</f>
        <v/>
      </c>
      <c r="M4" s="84" t="str">
        <f>IF(P13="","",VLOOKUP($P13,$P13:$AB13,4,FALSE))</f>
        <v/>
      </c>
      <c r="N4" s="64" t="str">
        <f>IF(P13="","",VLOOKUP($P13,$P13:$AB13,5,FALSE))</f>
        <v/>
      </c>
      <c r="P4" s="81" t="str">
        <f t="shared" ref="P4:P11" si="0">IF(D4="","",IF(C4&gt;D4,B4,E4))</f>
        <v>Bulldogs</v>
      </c>
      <c r="Q4" s="81" t="str">
        <f t="shared" ref="Q4:Q11" si="1">IF($D4="","",IF($C4&lt;$D4,$B4,$E4))</f>
        <v>Raiders</v>
      </c>
      <c r="R4" s="91" t="s">
        <v>15</v>
      </c>
      <c r="S4" s="17" t="s">
        <v>104</v>
      </c>
      <c r="T4" s="81">
        <f>3+T3</f>
        <v>11</v>
      </c>
    </row>
    <row r="5" spans="1:28" x14ac:dyDescent="0.35">
      <c r="A5" s="58">
        <v>2</v>
      </c>
      <c r="B5" s="2" t="str">
        <f>Data!O4</f>
        <v>Roosters</v>
      </c>
      <c r="C5" s="73">
        <v>4</v>
      </c>
      <c r="D5" s="73">
        <v>40</v>
      </c>
      <c r="E5" s="2" t="str">
        <f>Data!P4</f>
        <v>Panthers</v>
      </c>
      <c r="G5" s="79"/>
      <c r="H5" s="79"/>
      <c r="I5" s="79"/>
      <c r="J5" s="79"/>
      <c r="K5" s="78"/>
      <c r="L5" s="83"/>
      <c r="M5" s="85"/>
      <c r="N5" s="79"/>
      <c r="P5" s="81" t="str">
        <f t="shared" si="0"/>
        <v>Panthers</v>
      </c>
      <c r="Q5" s="81" t="str">
        <f t="shared" si="1"/>
        <v>Roosters</v>
      </c>
      <c r="R5" s="91" t="s">
        <v>16</v>
      </c>
      <c r="S5" s="17" t="s">
        <v>103</v>
      </c>
      <c r="T5" s="81" t="str">
        <f>"C4:D"&amp;T4</f>
        <v>C4:D11</v>
      </c>
    </row>
    <row r="6" spans="1:28" x14ac:dyDescent="0.35">
      <c r="A6" s="58">
        <v>3</v>
      </c>
      <c r="B6" s="2" t="str">
        <f>Data!O5</f>
        <v>Storm</v>
      </c>
      <c r="C6" s="73">
        <v>14</v>
      </c>
      <c r="D6" s="73">
        <v>18</v>
      </c>
      <c r="E6" s="2" t="str">
        <f>Data!P5</f>
        <v>Broncos</v>
      </c>
      <c r="G6" s="142" t="s">
        <v>68</v>
      </c>
      <c r="H6" s="142"/>
      <c r="I6" s="142"/>
      <c r="J6" s="142"/>
      <c r="L6" s="142" t="s">
        <v>72</v>
      </c>
      <c r="M6" s="142"/>
      <c r="N6" s="142"/>
      <c r="P6" s="81" t="str">
        <f t="shared" si="0"/>
        <v>Broncos</v>
      </c>
      <c r="Q6" s="81" t="str">
        <f t="shared" si="1"/>
        <v>Storm</v>
      </c>
      <c r="R6" s="92" t="s">
        <v>70</v>
      </c>
      <c r="S6" s="81" t="s">
        <v>89</v>
      </c>
      <c r="T6" s="93">
        <v>1</v>
      </c>
    </row>
    <row r="7" spans="1:28" x14ac:dyDescent="0.35">
      <c r="A7" s="58">
        <v>4</v>
      </c>
      <c r="B7" s="2" t="str">
        <f>Data!O6</f>
        <v>Knights</v>
      </c>
      <c r="C7" s="73"/>
      <c r="D7" s="73"/>
      <c r="E7" s="2" t="str">
        <f>Data!P6</f>
        <v>Warriors</v>
      </c>
      <c r="G7" s="62" t="s">
        <v>18</v>
      </c>
      <c r="H7" s="66" t="s">
        <v>73</v>
      </c>
      <c r="I7" s="66"/>
      <c r="J7" s="62" t="s">
        <v>20</v>
      </c>
      <c r="K7" s="67"/>
      <c r="L7" s="62" t="s">
        <v>0</v>
      </c>
      <c r="M7" s="62"/>
      <c r="N7" s="62" t="s">
        <v>1</v>
      </c>
      <c r="P7" s="81" t="str">
        <f t="shared" si="0"/>
        <v/>
      </c>
      <c r="Q7" s="81" t="str">
        <f t="shared" si="1"/>
        <v/>
      </c>
      <c r="R7" s="92" t="s">
        <v>71</v>
      </c>
    </row>
    <row r="8" spans="1:28" x14ac:dyDescent="0.35">
      <c r="A8" s="58">
        <v>5</v>
      </c>
      <c r="B8" s="2" t="str">
        <f>IF(Data!S$3&lt;'Live Ladder'!$A8,"",Data!O7)</f>
        <v>Sharks</v>
      </c>
      <c r="C8" s="73"/>
      <c r="D8" s="73"/>
      <c r="E8" s="2" t="str">
        <f>IF(Data!S$3&lt;'Live Ladder'!$A8,"",Data!P7)</f>
        <v>Dolphins</v>
      </c>
      <c r="G8" s="86" t="str">
        <f>IF(P13="","",L8-VLOOKUP($P13,Engine!A:R,18,FALSE))</f>
        <v/>
      </c>
      <c r="H8" s="79" t="str">
        <f>IF(P13="","",N8-VLOOKUP($P13,Engine!A:S,19,FALSE))</f>
        <v/>
      </c>
      <c r="I8" s="79"/>
      <c r="J8" s="79" t="str">
        <f>IF(P13="","",IF(U13=0,"",U13))</f>
        <v/>
      </c>
      <c r="K8" s="72" t="str">
        <f>IF(P13="","",IF(COUNTIF(P$4:P$11,J8)=1,R$6,IF(COUNTIF(Q$4:Q$11,J8)=1,R$7,"")))</f>
        <v/>
      </c>
      <c r="L8" s="82" t="str">
        <f>IF(P13="","",Z13)</f>
        <v/>
      </c>
      <c r="M8" s="79"/>
      <c r="N8" s="79" t="str">
        <f>IF(P13="","",AB13)</f>
        <v/>
      </c>
      <c r="P8" s="81" t="str">
        <f t="shared" si="0"/>
        <v/>
      </c>
      <c r="Q8" s="81" t="str">
        <f t="shared" si="1"/>
        <v/>
      </c>
    </row>
    <row r="9" spans="1:28" x14ac:dyDescent="0.35">
      <c r="A9" s="58">
        <v>6</v>
      </c>
      <c r="B9" s="2" t="str">
        <f>IF(Data!S$3&lt;'Live Ladder'!$A9,"",Data!O8)</f>
        <v>Rabbitohs</v>
      </c>
      <c r="C9" s="73"/>
      <c r="D9" s="73"/>
      <c r="E9" s="2" t="str">
        <f>IF(Data!S$3&lt;'Live Ladder'!$A9,"",Data!P8)</f>
        <v>Wests Tigers</v>
      </c>
      <c r="G9" s="87"/>
      <c r="H9" s="88"/>
      <c r="I9" s="74"/>
      <c r="J9" s="74"/>
      <c r="K9" s="75"/>
      <c r="L9" s="75"/>
      <c r="M9" s="74"/>
      <c r="N9" s="74"/>
      <c r="P9" s="81" t="str">
        <f t="shared" ref="P9" si="2">IF(D9="","",IF(C9&gt;D9,B9,E9))</f>
        <v/>
      </c>
      <c r="Q9" s="81" t="str">
        <f t="shared" si="1"/>
        <v/>
      </c>
    </row>
    <row r="10" spans="1:28" x14ac:dyDescent="0.35">
      <c r="A10" s="58">
        <v>7</v>
      </c>
      <c r="B10" s="2" t="str">
        <f>IF(Data!S$3&lt;'Live Ladder'!$A10,"",Data!O9)</f>
        <v>Eels</v>
      </c>
      <c r="C10" s="73"/>
      <c r="D10" s="73"/>
      <c r="E10" s="2" t="str">
        <f>IF(Data!S$3&lt;'Live Ladder'!$A10,"",Data!P9)</f>
        <v>Dragons</v>
      </c>
      <c r="J10" s="60" t="str">
        <f>IF(J8="No Tips","Tips not submitted","")</f>
        <v/>
      </c>
      <c r="P10" s="81" t="str">
        <f t="shared" si="0"/>
        <v/>
      </c>
      <c r="Q10" s="81" t="str">
        <f t="shared" si="1"/>
        <v/>
      </c>
    </row>
    <row r="11" spans="1:28" x14ac:dyDescent="0.35">
      <c r="A11" s="58">
        <v>8</v>
      </c>
      <c r="B11" s="2" t="str">
        <f>IF(Data!S$3&lt;'Live Ladder'!$A11,"",Data!O10)</f>
        <v>Cowboys</v>
      </c>
      <c r="C11" s="73"/>
      <c r="D11" s="73"/>
      <c r="E11" s="2" t="str">
        <f>IF(Data!S$3&lt;'Live Ladder'!$A11,"",Data!P10)</f>
        <v>Titans</v>
      </c>
      <c r="P11" s="81" t="str">
        <f t="shared" si="0"/>
        <v/>
      </c>
      <c r="Q11" s="81" t="str">
        <f t="shared" si="1"/>
        <v/>
      </c>
      <c r="Z11" s="140" t="s">
        <v>72</v>
      </c>
      <c r="AA11" s="140"/>
      <c r="AB11" s="140"/>
    </row>
    <row r="12" spans="1:28" ht="29" customHeight="1" x14ac:dyDescent="0.35">
      <c r="B12" s="59" t="s">
        <v>21</v>
      </c>
      <c r="P12" s="81" t="s">
        <v>206</v>
      </c>
      <c r="Q12" s="81" t="s">
        <v>88</v>
      </c>
      <c r="R12" s="81" t="s">
        <v>85</v>
      </c>
      <c r="S12" s="91" t="s">
        <v>16</v>
      </c>
      <c r="T12" s="81" t="s">
        <v>87</v>
      </c>
      <c r="U12" s="62" t="s">
        <v>20</v>
      </c>
      <c r="V12" s="66"/>
      <c r="W12" s="66"/>
      <c r="X12" s="62" t="s">
        <v>20</v>
      </c>
      <c r="Y12" s="67"/>
      <c r="Z12" s="62" t="s">
        <v>0</v>
      </c>
      <c r="AA12" s="62"/>
      <c r="AB12" s="62" t="s">
        <v>1</v>
      </c>
    </row>
    <row r="13" spans="1:28" x14ac:dyDescent="0.35">
      <c r="B13" s="142" t="s">
        <v>67</v>
      </c>
      <c r="C13" s="142"/>
      <c r="D13" s="142"/>
      <c r="E13" s="63" t="s">
        <v>69</v>
      </c>
      <c r="F13" s="64"/>
      <c r="G13" s="142" t="s">
        <v>68</v>
      </c>
      <c r="H13" s="142"/>
      <c r="I13" s="142"/>
      <c r="J13" s="142"/>
      <c r="K13" s="65"/>
      <c r="L13" s="142" t="s">
        <v>72</v>
      </c>
      <c r="M13" s="142"/>
      <c r="N13" s="142"/>
      <c r="O13" s="76"/>
      <c r="P13" s="93" t="str">
        <f>IF(G4="","",VLOOKUP(G4,'Code Table'!B:D,3,FALSE))</f>
        <v/>
      </c>
      <c r="Q13" s="81">
        <f>G4</f>
        <v>0</v>
      </c>
      <c r="R13" s="81" t="e">
        <f>VLOOKUP($P13,Engine!$A:$E,4,FALSE)</f>
        <v>#N/A</v>
      </c>
      <c r="S13" s="91" t="e">
        <f>VLOOKUP($P13,Engine!$A:$E,5,FALSE)</f>
        <v>#N/A</v>
      </c>
      <c r="T13" s="81" t="e">
        <f>VLOOKUP($P13,Engine!$A:$F,6,FALSE)</f>
        <v>#N/A</v>
      </c>
      <c r="U13" s="81" t="e">
        <f>VLOOKUP(P13,Engine!A:Q,17,FALSE)</f>
        <v>#N/A</v>
      </c>
      <c r="Z13" s="81" t="e">
        <f>VLOOKUP(P13,Engine!$A:$AA,25,FALSE)</f>
        <v>#N/A</v>
      </c>
      <c r="AB13" s="81" t="e">
        <f>VLOOKUP(P13,Engine!$A:$AA,26,FALSE)</f>
        <v>#N/A</v>
      </c>
    </row>
    <row r="14" spans="1:28" x14ac:dyDescent="0.35">
      <c r="G14" s="62" t="s">
        <v>18</v>
      </c>
      <c r="H14" s="66" t="s">
        <v>73</v>
      </c>
      <c r="I14" s="66"/>
      <c r="J14" s="62" t="s">
        <v>20</v>
      </c>
      <c r="K14" s="67"/>
      <c r="L14" s="62" t="s">
        <v>0</v>
      </c>
      <c r="M14" s="62"/>
      <c r="N14" s="62" t="s">
        <v>1</v>
      </c>
      <c r="O14" s="76"/>
      <c r="Q14" s="81" t="s">
        <v>205</v>
      </c>
    </row>
    <row r="15" spans="1:28" x14ac:dyDescent="0.35">
      <c r="A15" s="68">
        <f>T6</f>
        <v>1</v>
      </c>
      <c r="B15" s="7">
        <f>A15</f>
        <v>1</v>
      </c>
      <c r="C15" s="69" t="str">
        <f>VLOOKUP($A15,Engine!$D:$H,2,FALSE)</f>
        <v>p</v>
      </c>
      <c r="D15" s="70">
        <f>VLOOKUP($A15,Engine!$D:$H,3,FALSE)</f>
        <v>1</v>
      </c>
      <c r="E15" s="7" t="str">
        <f>VLOOKUP($A15,Engine!$D:$H,5,FALSE)</f>
        <v>Control</v>
      </c>
      <c r="F15" s="71"/>
      <c r="G15" s="8">
        <f>L15-VLOOKUP($A15,Engine!$D:$S,15,FALSE)</f>
        <v>2</v>
      </c>
      <c r="H15" s="8">
        <f>N15-VLOOKUP($A15,Engine!$D:$S,16,FALSE)</f>
        <v>68</v>
      </c>
      <c r="I15" s="9"/>
      <c r="J15" s="8" t="str">
        <f>IF(VLOOKUP(E15,Engine!H:Q,10,FALSE)=0,"",VLOOKUP(E15,Engine!H:Q,10,FALSE))</f>
        <v>Sharks</v>
      </c>
      <c r="K15" s="72" t="str">
        <f t="shared" ref="K15:K46" si="3">IF(COUNTIF(P$4:P$11,J15)=1,R$6,IF(COUNTIF(Q$4:Q$11,J15)=1,R$7,""))</f>
        <v/>
      </c>
      <c r="L15" s="7">
        <f>VLOOKUP($A15,Engine!$D:$Z,22,FALSE)</f>
        <v>18</v>
      </c>
      <c r="M15" s="71"/>
      <c r="N15" s="7">
        <f>VLOOKUP($A15,Engine!$D:$Z,23,FALSE)</f>
        <v>564</v>
      </c>
      <c r="O15" s="89"/>
    </row>
    <row r="16" spans="1:28" x14ac:dyDescent="0.35">
      <c r="A16" s="68">
        <f>A15+1</f>
        <v>2</v>
      </c>
      <c r="B16" s="7">
        <f t="shared" ref="B16:B46" si="4">A16</f>
        <v>2</v>
      </c>
      <c r="C16" s="69" t="str">
        <f>VLOOKUP($A16,Engine!$D:$H,2,FALSE)</f>
        <v>p</v>
      </c>
      <c r="D16" s="70">
        <f>VLOOKUP($A16,Engine!$D:$H,3,FALSE)</f>
        <v>1</v>
      </c>
      <c r="E16" s="7" t="str">
        <f>VLOOKUP($A16,Engine!$D:$H,5,FALSE)</f>
        <v>Timbo</v>
      </c>
      <c r="F16" s="71"/>
      <c r="G16" s="8">
        <f>L16-VLOOKUP($A16,Engine!$D:$S,15,FALSE)</f>
        <v>2</v>
      </c>
      <c r="H16" s="8">
        <f>N16-VLOOKUP($A16,Engine!$D:$S,16,FALSE)</f>
        <v>68</v>
      </c>
      <c r="I16" s="9"/>
      <c r="J16" s="8" t="str">
        <f>IF(VLOOKUP(E16,Engine!H:Q,10,FALSE)=0,"",VLOOKUP(E16,Engine!H:Q,10,FALSE))</f>
        <v>Sharks</v>
      </c>
      <c r="K16" s="72" t="str">
        <f t="shared" si="3"/>
        <v/>
      </c>
      <c r="L16" s="7">
        <f>VLOOKUP($A16,Engine!$D:$Z,22,FALSE)</f>
        <v>18</v>
      </c>
      <c r="M16" s="71"/>
      <c r="N16" s="7">
        <f>VLOOKUP($A16,Engine!$D:$Z,23,FALSE)</f>
        <v>564</v>
      </c>
      <c r="O16" s="89"/>
    </row>
    <row r="17" spans="1:15" s="61" customFormat="1" x14ac:dyDescent="0.35">
      <c r="A17" s="68">
        <f t="shared" ref="A17:A72" si="5">A16+1</f>
        <v>3</v>
      </c>
      <c r="B17" s="7">
        <f t="shared" si="4"/>
        <v>3</v>
      </c>
      <c r="C17" s="69" t="str">
        <f>VLOOKUP($A17,Engine!$D:$H,2,FALSE)</f>
        <v>p</v>
      </c>
      <c r="D17" s="70">
        <f>VLOOKUP($A17,Engine!$D:$H,3,FALSE)</f>
        <v>3</v>
      </c>
      <c r="E17" s="7" t="str">
        <f>VLOOKUP($A17,Engine!$D:$H,5,FALSE)</f>
        <v>Panthers29</v>
      </c>
      <c r="F17" s="71"/>
      <c r="G17" s="8">
        <f>L17-VLOOKUP($A17,Engine!$D:$S,15,FALSE)</f>
        <v>2</v>
      </c>
      <c r="H17" s="8">
        <f>N17-VLOOKUP($A17,Engine!$D:$S,16,FALSE)</f>
        <v>68</v>
      </c>
      <c r="I17" s="9"/>
      <c r="J17" s="8" t="str">
        <f>IF(VLOOKUP(E17,Engine!H:Q,10,FALSE)=0,"",VLOOKUP(E17,Engine!H:Q,10,FALSE))</f>
        <v>Sharks</v>
      </c>
      <c r="K17" s="72" t="str">
        <f t="shared" si="3"/>
        <v/>
      </c>
      <c r="L17" s="7">
        <f>VLOOKUP($A17,Engine!$D:$Z,22,FALSE)</f>
        <v>17</v>
      </c>
      <c r="M17" s="71"/>
      <c r="N17" s="7">
        <f>VLOOKUP($A17,Engine!$D:$Z,23,FALSE)</f>
        <v>556</v>
      </c>
      <c r="O17" s="89"/>
    </row>
    <row r="18" spans="1:15" s="61" customFormat="1" x14ac:dyDescent="0.35">
      <c r="A18" s="68">
        <f t="shared" si="5"/>
        <v>4</v>
      </c>
      <c r="B18" s="7">
        <f t="shared" si="4"/>
        <v>4</v>
      </c>
      <c r="C18" s="69" t="str">
        <f>VLOOKUP($A18,Engine!$D:$H,2,FALSE)</f>
        <v>p</v>
      </c>
      <c r="D18" s="70">
        <f>VLOOKUP($A18,Engine!$D:$H,3,FALSE)</f>
        <v>6</v>
      </c>
      <c r="E18" s="7" t="str">
        <f>VLOOKUP($A18,Engine!$D:$H,5,FALSE)</f>
        <v>Chunka</v>
      </c>
      <c r="F18" s="71"/>
      <c r="G18" s="8">
        <f>L18-VLOOKUP($A18,Engine!$D:$S,15,FALSE)</f>
        <v>3</v>
      </c>
      <c r="H18" s="8">
        <f>N18-VLOOKUP($A18,Engine!$D:$S,16,FALSE)</f>
        <v>64</v>
      </c>
      <c r="I18" s="9"/>
      <c r="J18" s="8" t="str">
        <f>IF(VLOOKUP(E18,Engine!H:Q,10,FALSE)=0,"",VLOOKUP(E18,Engine!H:Q,10,FALSE))</f>
        <v>Panthers</v>
      </c>
      <c r="K18" s="72" t="str">
        <f t="shared" si="3"/>
        <v>ü</v>
      </c>
      <c r="L18" s="7">
        <f>VLOOKUP($A18,Engine!$D:$Z,22,FALSE)</f>
        <v>17</v>
      </c>
      <c r="M18" s="71"/>
      <c r="N18" s="7">
        <f>VLOOKUP($A18,Engine!$D:$Z,23,FALSE)</f>
        <v>551</v>
      </c>
      <c r="O18" s="89"/>
    </row>
    <row r="19" spans="1:15" s="61" customFormat="1" x14ac:dyDescent="0.35">
      <c r="A19" s="68">
        <f t="shared" si="5"/>
        <v>5</v>
      </c>
      <c r="B19" s="7">
        <f t="shared" si="4"/>
        <v>5</v>
      </c>
      <c r="C19" s="69" t="str">
        <f>VLOOKUP($A19,Engine!$D:$H,2,FALSE)</f>
        <v>q</v>
      </c>
      <c r="D19" s="70">
        <f>VLOOKUP($A19,Engine!$D:$H,3,FALSE)</f>
        <v>4</v>
      </c>
      <c r="E19" s="7" t="str">
        <f>VLOOKUP($A19,Engine!$D:$H,5,FALSE)</f>
        <v>Bridie</v>
      </c>
      <c r="F19" s="71"/>
      <c r="G19" s="8">
        <f>L19-VLOOKUP($A19,Engine!$D:$S,15,FALSE)</f>
        <v>0</v>
      </c>
      <c r="H19" s="8">
        <f>N19-VLOOKUP($A19,Engine!$D:$S,16,FALSE)</f>
        <v>68</v>
      </c>
      <c r="I19" s="9"/>
      <c r="J19" s="8" t="str">
        <f>IF(VLOOKUP(E19,Engine!H:Q,10,FALSE)=0,"",VLOOKUP(E19,Engine!H:Q,10,FALSE))</f>
        <v>Storm</v>
      </c>
      <c r="K19" s="72" t="str">
        <f t="shared" si="3"/>
        <v>û</v>
      </c>
      <c r="L19" s="7">
        <f>VLOOKUP($A19,Engine!$D:$Z,22,FALSE)</f>
        <v>16</v>
      </c>
      <c r="M19" s="71"/>
      <c r="N19" s="7">
        <f>VLOOKUP($A19,Engine!$D:$Z,23,FALSE)</f>
        <v>583</v>
      </c>
      <c r="O19" s="76"/>
    </row>
    <row r="20" spans="1:15" s="61" customFormat="1" x14ac:dyDescent="0.35">
      <c r="A20" s="68">
        <f t="shared" si="5"/>
        <v>6</v>
      </c>
      <c r="B20" s="7">
        <f t="shared" si="4"/>
        <v>6</v>
      </c>
      <c r="C20" s="69" t="str">
        <f>VLOOKUP($A20,Engine!$D:$H,2,FALSE)</f>
        <v>p</v>
      </c>
      <c r="D20" s="70">
        <f>VLOOKUP($A20,Engine!$D:$H,3,FALSE)</f>
        <v>5</v>
      </c>
      <c r="E20" s="7" t="str">
        <f>VLOOKUP($A20,Engine!$D:$H,5,FALSE)</f>
        <v>9986</v>
      </c>
      <c r="F20" s="71"/>
      <c r="G20" s="8">
        <f>L20-VLOOKUP($A20,Engine!$D:$S,15,FALSE)</f>
        <v>2</v>
      </c>
      <c r="H20" s="8">
        <f>N20-VLOOKUP($A20,Engine!$D:$S,16,FALSE)</f>
        <v>68</v>
      </c>
      <c r="I20" s="9"/>
      <c r="J20" s="8" t="str">
        <f>IF(VLOOKUP(E20,Engine!H:Q,10,FALSE)=0,"",VLOOKUP(E20,Engine!H:Q,10,FALSE))</f>
        <v>Sharks</v>
      </c>
      <c r="K20" s="72" t="str">
        <f t="shared" si="3"/>
        <v/>
      </c>
      <c r="L20" s="7">
        <f>VLOOKUP($A20,Engine!$D:$Z,22,FALSE)</f>
        <v>16</v>
      </c>
      <c r="M20" s="71"/>
      <c r="N20" s="7">
        <f>VLOOKUP($A20,Engine!$D:$Z,23,FALSE)</f>
        <v>537</v>
      </c>
      <c r="O20" s="76"/>
    </row>
    <row r="21" spans="1:15" s="61" customFormat="1" x14ac:dyDescent="0.35">
      <c r="A21" s="68">
        <f t="shared" si="5"/>
        <v>7</v>
      </c>
      <c r="B21" s="7">
        <f t="shared" si="4"/>
        <v>7</v>
      </c>
      <c r="C21" s="69" t="str">
        <f>VLOOKUP($A21,Engine!$D:$H,2,FALSE)</f>
        <v>p</v>
      </c>
      <c r="D21" s="70">
        <f>VLOOKUP($A21,Engine!$D:$H,3,FALSE)</f>
        <v>7</v>
      </c>
      <c r="E21" s="7" t="str">
        <f>VLOOKUP($A21,Engine!$D:$H,5,FALSE)</f>
        <v>UpthePamfers</v>
      </c>
      <c r="F21" s="71"/>
      <c r="G21" s="8">
        <f>L21-VLOOKUP($A21,Engine!$D:$S,15,FALSE)</f>
        <v>2</v>
      </c>
      <c r="H21" s="8">
        <f>N21-VLOOKUP($A21,Engine!$D:$S,16,FALSE)</f>
        <v>68</v>
      </c>
      <c r="I21" s="9"/>
      <c r="J21" s="8" t="str">
        <f>IF(VLOOKUP(E21,Engine!H:Q,10,FALSE)=0,"",VLOOKUP(E21,Engine!H:Q,10,FALSE))</f>
        <v>Rabbitohs</v>
      </c>
      <c r="K21" s="72" t="str">
        <f t="shared" si="3"/>
        <v/>
      </c>
      <c r="L21" s="7">
        <f>VLOOKUP($A21,Engine!$D:$Z,22,FALSE)</f>
        <v>16</v>
      </c>
      <c r="M21" s="71"/>
      <c r="N21" s="7">
        <f>VLOOKUP($A21,Engine!$D:$Z,23,FALSE)</f>
        <v>526</v>
      </c>
      <c r="O21" s="76"/>
    </row>
    <row r="22" spans="1:15" s="61" customFormat="1" x14ac:dyDescent="0.35">
      <c r="A22" s="68">
        <f t="shared" si="5"/>
        <v>8</v>
      </c>
      <c r="B22" s="7">
        <f t="shared" si="4"/>
        <v>8</v>
      </c>
      <c r="C22" s="69" t="str">
        <f>VLOOKUP($A22,Engine!$D:$H,2,FALSE)</f>
        <v>q</v>
      </c>
      <c r="D22" s="70">
        <f>VLOOKUP($A22,Engine!$D:$H,3,FALSE)</f>
        <v>4</v>
      </c>
      <c r="E22" s="7" t="str">
        <f>VLOOKUP($A22,Engine!$D:$H,5,FALSE)</f>
        <v>Cruella</v>
      </c>
      <c r="F22" s="71"/>
      <c r="G22" s="8">
        <f>L22-VLOOKUP($A22,Engine!$D:$S,15,FALSE)</f>
        <v>0</v>
      </c>
      <c r="H22" s="8">
        <f>N22-VLOOKUP($A22,Engine!$D:$S,16,FALSE)</f>
        <v>68</v>
      </c>
      <c r="I22" s="9"/>
      <c r="J22" s="8" t="str">
        <f>IF(VLOOKUP(E22,Engine!H:Q,10,FALSE)=0,"",VLOOKUP(E22,Engine!H:Q,10,FALSE))</f>
        <v>Storm</v>
      </c>
      <c r="K22" s="72" t="str">
        <f t="shared" si="3"/>
        <v>û</v>
      </c>
      <c r="L22" s="7">
        <f>VLOOKUP($A22,Engine!$D:$Z,22,FALSE)</f>
        <v>15</v>
      </c>
      <c r="M22" s="71"/>
      <c r="N22" s="7">
        <f>VLOOKUP($A22,Engine!$D:$Z,23,FALSE)</f>
        <v>575</v>
      </c>
      <c r="O22" s="76"/>
    </row>
    <row r="23" spans="1:15" s="61" customFormat="1" x14ac:dyDescent="0.35">
      <c r="A23" s="68">
        <f t="shared" si="5"/>
        <v>9</v>
      </c>
      <c r="B23" s="7">
        <f t="shared" si="4"/>
        <v>9</v>
      </c>
      <c r="C23" s="69" t="str">
        <f>VLOOKUP($A23,Engine!$D:$H,2,FALSE)</f>
        <v>p</v>
      </c>
      <c r="D23" s="70">
        <f>VLOOKUP($A23,Engine!$D:$H,3,FALSE)</f>
        <v>23</v>
      </c>
      <c r="E23" s="7" t="str">
        <f>VLOOKUP($A23,Engine!$D:$H,5,FALSE)</f>
        <v>iTerry</v>
      </c>
      <c r="F23" s="71"/>
      <c r="G23" s="8">
        <f>L23-VLOOKUP($A23,Engine!$D:$S,15,FALSE)</f>
        <v>4</v>
      </c>
      <c r="H23" s="8">
        <f>N23-VLOOKUP($A23,Engine!$D:$S,16,FALSE)</f>
        <v>68</v>
      </c>
      <c r="I23" s="9"/>
      <c r="J23" s="8" t="str">
        <f>IF(VLOOKUP(E23,Engine!H:Q,10,FALSE)=0,"",VLOOKUP(E23,Engine!H:Q,10,FALSE))</f>
        <v>Bulldogs</v>
      </c>
      <c r="K23" s="72" t="str">
        <f t="shared" si="3"/>
        <v>ü</v>
      </c>
      <c r="L23" s="7">
        <f>VLOOKUP($A23,Engine!$D:$Z,22,FALSE)</f>
        <v>15</v>
      </c>
      <c r="M23" s="71"/>
      <c r="N23" s="7">
        <f>VLOOKUP($A23,Engine!$D:$Z,23,FALSE)</f>
        <v>547</v>
      </c>
      <c r="O23" s="76"/>
    </row>
    <row r="24" spans="1:15" s="61" customFormat="1" x14ac:dyDescent="0.35">
      <c r="A24" s="68">
        <f t="shared" si="5"/>
        <v>10</v>
      </c>
      <c r="B24" s="7">
        <f t="shared" si="4"/>
        <v>10</v>
      </c>
      <c r="C24" s="69" t="str">
        <f>VLOOKUP($A24,Engine!$D:$H,2,FALSE)</f>
        <v>p</v>
      </c>
      <c r="D24" s="70">
        <f>VLOOKUP($A24,Engine!$D:$H,3,FALSE)</f>
        <v>2</v>
      </c>
      <c r="E24" s="7" t="str">
        <f>VLOOKUP($A24,Engine!$D:$H,5,FALSE)</f>
        <v>murch</v>
      </c>
      <c r="F24" s="71"/>
      <c r="G24" s="8">
        <f>L24-VLOOKUP($A24,Engine!$D:$S,15,FALSE)</f>
        <v>1</v>
      </c>
      <c r="H24" s="8">
        <f>N24-VLOOKUP($A24,Engine!$D:$S,16,FALSE)</f>
        <v>64</v>
      </c>
      <c r="I24" s="9"/>
      <c r="J24" s="8" t="str">
        <f>IF(VLOOKUP(E24,Engine!H:Q,10,FALSE)=0,"",VLOOKUP(E24,Engine!H:Q,10,FALSE))</f>
        <v>Sharks</v>
      </c>
      <c r="K24" s="72" t="str">
        <f t="shared" si="3"/>
        <v/>
      </c>
      <c r="L24" s="7">
        <f>VLOOKUP($A24,Engine!$D:$Z,22,FALSE)</f>
        <v>15</v>
      </c>
      <c r="M24" s="71"/>
      <c r="N24" s="7">
        <f>VLOOKUP($A24,Engine!$D:$Z,23,FALSE)</f>
        <v>524</v>
      </c>
      <c r="O24" s="76"/>
    </row>
    <row r="25" spans="1:15" s="61" customFormat="1" x14ac:dyDescent="0.35">
      <c r="A25" s="68">
        <f t="shared" si="5"/>
        <v>11</v>
      </c>
      <c r="B25" s="7">
        <f t="shared" si="4"/>
        <v>11</v>
      </c>
      <c r="C25" s="69" t="str">
        <f>VLOOKUP($A25,Engine!$D:$H,2,FALSE)</f>
        <v>p</v>
      </c>
      <c r="D25" s="70">
        <f>VLOOKUP($A25,Engine!$D:$H,3,FALSE)</f>
        <v>15</v>
      </c>
      <c r="E25" s="7" t="str">
        <f>VLOOKUP($A25,Engine!$D:$H,5,FALSE)</f>
        <v>Bart Simpson</v>
      </c>
      <c r="F25" s="71"/>
      <c r="G25" s="8">
        <f>L25-VLOOKUP($A25,Engine!$D:$S,15,FALSE)</f>
        <v>3</v>
      </c>
      <c r="H25" s="8">
        <f>N25-VLOOKUP($A25,Engine!$D:$S,16,FALSE)</f>
        <v>64</v>
      </c>
      <c r="I25" s="9"/>
      <c r="J25" s="8" t="str">
        <f>IF(VLOOKUP(E25,Engine!H:Q,10,FALSE)=0,"",VLOOKUP(E25,Engine!H:Q,10,FALSE))</f>
        <v>Panthers</v>
      </c>
      <c r="K25" s="72" t="str">
        <f t="shared" si="3"/>
        <v>ü</v>
      </c>
      <c r="L25" s="7">
        <f>VLOOKUP($A25,Engine!$D:$Z,22,FALSE)</f>
        <v>15</v>
      </c>
      <c r="M25" s="71"/>
      <c r="N25" s="7">
        <f>VLOOKUP($A25,Engine!$D:$Z,23,FALSE)</f>
        <v>515</v>
      </c>
      <c r="O25" s="76"/>
    </row>
    <row r="26" spans="1:15" s="61" customFormat="1" x14ac:dyDescent="0.35">
      <c r="A26" s="68">
        <f t="shared" si="5"/>
        <v>12</v>
      </c>
      <c r="B26" s="7">
        <f t="shared" si="4"/>
        <v>12</v>
      </c>
      <c r="C26" s="69" t="str">
        <f>VLOOKUP($A26,Engine!$D:$H,2,FALSE)</f>
        <v>q</v>
      </c>
      <c r="D26" s="70">
        <f>VLOOKUP($A26,Engine!$D:$H,3,FALSE)</f>
        <v>5</v>
      </c>
      <c r="E26" s="7" t="str">
        <f>VLOOKUP($A26,Engine!$D:$H,5,FALSE)</f>
        <v>I miss Benji</v>
      </c>
      <c r="F26" s="71"/>
      <c r="G26" s="8">
        <f>L26-VLOOKUP($A26,Engine!$D:$S,15,FALSE)</f>
        <v>0</v>
      </c>
      <c r="H26" s="8">
        <f>N26-VLOOKUP($A26,Engine!$D:$S,16,FALSE)</f>
        <v>28</v>
      </c>
      <c r="I26" s="9"/>
      <c r="J26" s="8" t="str">
        <f>IF(VLOOKUP(E26,Engine!H:Q,10,FALSE)=0,"",VLOOKUP(E26,Engine!H:Q,10,FALSE))</f>
        <v>Eels</v>
      </c>
      <c r="K26" s="72" t="str">
        <f t="shared" si="3"/>
        <v/>
      </c>
      <c r="L26" s="7">
        <f>VLOOKUP($A26,Engine!$D:$Z,22,FALSE)</f>
        <v>15</v>
      </c>
      <c r="M26" s="71"/>
      <c r="N26" s="7">
        <f>VLOOKUP($A26,Engine!$D:$Z,23,FALSE)</f>
        <v>502</v>
      </c>
      <c r="O26" s="76"/>
    </row>
    <row r="27" spans="1:15" s="61" customFormat="1" x14ac:dyDescent="0.35">
      <c r="A27" s="68">
        <f t="shared" si="5"/>
        <v>13</v>
      </c>
      <c r="B27" s="7">
        <f t="shared" si="4"/>
        <v>13</v>
      </c>
      <c r="C27" s="69" t="str">
        <f>VLOOKUP($A27,Engine!$D:$H,2,FALSE)</f>
        <v>p</v>
      </c>
      <c r="D27" s="70">
        <f>VLOOKUP($A27,Engine!$D:$H,3,FALSE)</f>
        <v>9</v>
      </c>
      <c r="E27" s="7" t="str">
        <f>VLOOKUP($A27,Engine!$D:$H,5,FALSE)</f>
        <v>MJP181</v>
      </c>
      <c r="F27" s="71"/>
      <c r="G27" s="8">
        <f>L27-VLOOKUP($A27,Engine!$D:$S,15,FALSE)</f>
        <v>2</v>
      </c>
      <c r="H27" s="8">
        <f>N27-VLOOKUP($A27,Engine!$D:$S,16,FALSE)</f>
        <v>68</v>
      </c>
      <c r="I27" s="9"/>
      <c r="J27" s="8" t="str">
        <f>IF(VLOOKUP(E27,Engine!H:Q,10,FALSE)=0,"",VLOOKUP(E27,Engine!H:Q,10,FALSE))</f>
        <v>Eels</v>
      </c>
      <c r="K27" s="72" t="str">
        <f t="shared" si="3"/>
        <v/>
      </c>
      <c r="L27" s="7">
        <f>VLOOKUP($A27,Engine!$D:$Z,22,FALSE)</f>
        <v>15</v>
      </c>
      <c r="M27" s="71"/>
      <c r="N27" s="7">
        <f>VLOOKUP($A27,Engine!$D:$Z,23,FALSE)</f>
        <v>494</v>
      </c>
      <c r="O27" s="76"/>
    </row>
    <row r="28" spans="1:15" s="61" customFormat="1" x14ac:dyDescent="0.35">
      <c r="A28" s="68">
        <f t="shared" si="5"/>
        <v>14</v>
      </c>
      <c r="B28" s="7">
        <f t="shared" si="4"/>
        <v>14</v>
      </c>
      <c r="C28" s="69" t="str">
        <f>VLOOKUP($A28,Engine!$D:$H,2,FALSE)</f>
        <v>q</v>
      </c>
      <c r="D28" s="70">
        <f>VLOOKUP($A28,Engine!$D:$H,3,FALSE)</f>
        <v>9</v>
      </c>
      <c r="E28" s="7" t="str">
        <f>VLOOKUP($A28,Engine!$D:$H,5,FALSE)</f>
        <v>Lukebrooksbiggestfan</v>
      </c>
      <c r="F28" s="71"/>
      <c r="G28" s="8">
        <f>L28-VLOOKUP($A28,Engine!$D:$S,15,FALSE)</f>
        <v>-1</v>
      </c>
      <c r="H28" s="8">
        <f>N28-VLOOKUP($A28,Engine!$D:$S,16,FALSE)</f>
        <v>64</v>
      </c>
      <c r="I28" s="9"/>
      <c r="J28" s="8" t="str">
        <f>IF(VLOOKUP(E28,Engine!H:Q,10,FALSE)=0,"",VLOOKUP(E28,Engine!H:Q,10,FALSE))</f>
        <v>Storm</v>
      </c>
      <c r="K28" s="72" t="str">
        <f t="shared" si="3"/>
        <v>û</v>
      </c>
      <c r="L28" s="7">
        <f>VLOOKUP($A28,Engine!$D:$Z,22,FALSE)</f>
        <v>14</v>
      </c>
      <c r="M28" s="71"/>
      <c r="N28" s="7">
        <f>VLOOKUP($A28,Engine!$D:$Z,23,FALSE)</f>
        <v>552</v>
      </c>
      <c r="O28" s="76"/>
    </row>
    <row r="29" spans="1:15" s="61" customFormat="1" x14ac:dyDescent="0.35">
      <c r="A29" s="68">
        <f t="shared" si="5"/>
        <v>15</v>
      </c>
      <c r="B29" s="7">
        <f t="shared" si="4"/>
        <v>15</v>
      </c>
      <c r="C29" s="69" t="str">
        <f>VLOOKUP($A29,Engine!$D:$H,2,FALSE)</f>
        <v>q</v>
      </c>
      <c r="D29" s="70">
        <f>VLOOKUP($A29,Engine!$D:$H,3,FALSE)</f>
        <v>7</v>
      </c>
      <c r="E29" s="7" t="str">
        <f>VLOOKUP($A29,Engine!$D:$H,5,FALSE)</f>
        <v>The Creator</v>
      </c>
      <c r="F29" s="71"/>
      <c r="G29" s="8">
        <f>L29-VLOOKUP($A29,Engine!$D:$S,15,FALSE)</f>
        <v>-1</v>
      </c>
      <c r="H29" s="8">
        <f>N29-VLOOKUP($A29,Engine!$D:$S,16,FALSE)</f>
        <v>64</v>
      </c>
      <c r="I29" s="9"/>
      <c r="J29" s="8" t="str">
        <f>IF(VLOOKUP(E29,Engine!H:Q,10,FALSE)=0,"",VLOOKUP(E29,Engine!H:Q,10,FALSE))</f>
        <v>Storm</v>
      </c>
      <c r="K29" s="72" t="str">
        <f t="shared" si="3"/>
        <v>û</v>
      </c>
      <c r="L29" s="7">
        <f>VLOOKUP($A29,Engine!$D:$Z,22,FALSE)</f>
        <v>14</v>
      </c>
      <c r="M29" s="71"/>
      <c r="N29" s="7">
        <f>VLOOKUP($A29,Engine!$D:$Z,23,FALSE)</f>
        <v>526</v>
      </c>
      <c r="O29" s="76"/>
    </row>
    <row r="30" spans="1:15" s="61" customFormat="1" x14ac:dyDescent="0.35">
      <c r="A30" s="68">
        <f t="shared" si="5"/>
        <v>16</v>
      </c>
      <c r="B30" s="7">
        <f t="shared" si="4"/>
        <v>16</v>
      </c>
      <c r="C30" s="69" t="str">
        <f>VLOOKUP($A30,Engine!$D:$H,2,FALSE)</f>
        <v>q</v>
      </c>
      <c r="D30" s="70">
        <f>VLOOKUP($A30,Engine!$D:$H,3,FALSE)</f>
        <v>7</v>
      </c>
      <c r="E30" s="7" t="str">
        <f>VLOOKUP($A30,Engine!$D:$H,5,FALSE)</f>
        <v>Slave1</v>
      </c>
      <c r="F30" s="71"/>
      <c r="G30" s="8">
        <f>L30-VLOOKUP($A30,Engine!$D:$S,15,FALSE)</f>
        <v>-1</v>
      </c>
      <c r="H30" s="8">
        <f>N30-VLOOKUP($A30,Engine!$D:$S,16,FALSE)</f>
        <v>64</v>
      </c>
      <c r="I30" s="9"/>
      <c r="J30" s="8" t="str">
        <f>IF(VLOOKUP(E30,Engine!H:Q,10,FALSE)=0,"",VLOOKUP(E30,Engine!H:Q,10,FALSE))</f>
        <v>Storm</v>
      </c>
      <c r="K30" s="72" t="str">
        <f t="shared" si="3"/>
        <v>û</v>
      </c>
      <c r="L30" s="7">
        <f>VLOOKUP($A30,Engine!$D:$Z,22,FALSE)</f>
        <v>14</v>
      </c>
      <c r="M30" s="71"/>
      <c r="N30" s="7">
        <f>VLOOKUP($A30,Engine!$D:$Z,23,FALSE)</f>
        <v>526</v>
      </c>
      <c r="O30" s="76"/>
    </row>
    <row r="31" spans="1:15" s="61" customFormat="1" x14ac:dyDescent="0.35">
      <c r="A31" s="68">
        <f t="shared" si="5"/>
        <v>17</v>
      </c>
      <c r="B31" s="7">
        <f t="shared" si="4"/>
        <v>17</v>
      </c>
      <c r="C31" s="69" t="str">
        <f>VLOOKUP($A31,Engine!$D:$H,2,FALSE)</f>
        <v>p</v>
      </c>
      <c r="D31" s="70">
        <f>VLOOKUP($A31,Engine!$D:$H,3,FALSE)</f>
        <v>1</v>
      </c>
      <c r="E31" s="7" t="str">
        <f>VLOOKUP($A31,Engine!$D:$H,5,FALSE)</f>
        <v>Magnum</v>
      </c>
      <c r="F31" s="71"/>
      <c r="G31" s="8">
        <f>L31-VLOOKUP($A31,Engine!$D:$S,15,FALSE)</f>
        <v>1</v>
      </c>
      <c r="H31" s="8">
        <f>N31-VLOOKUP($A31,Engine!$D:$S,16,FALSE)</f>
        <v>64</v>
      </c>
      <c r="I31" s="9"/>
      <c r="J31" s="8" t="str">
        <f>IF(VLOOKUP(E31,Engine!H:Q,10,FALSE)=0,"",VLOOKUP(E31,Engine!H:Q,10,FALSE))</f>
        <v>Cowboys</v>
      </c>
      <c r="K31" s="72" t="str">
        <f t="shared" si="3"/>
        <v/>
      </c>
      <c r="L31" s="7">
        <f>VLOOKUP($A31,Engine!$D:$Z,22,FALSE)</f>
        <v>14</v>
      </c>
      <c r="M31" s="71"/>
      <c r="N31" s="7">
        <f>VLOOKUP($A31,Engine!$D:$Z,23,FALSE)</f>
        <v>516</v>
      </c>
      <c r="O31" s="76"/>
    </row>
    <row r="32" spans="1:15" s="61" customFormat="1" x14ac:dyDescent="0.35">
      <c r="A32" s="68">
        <f t="shared" si="5"/>
        <v>18</v>
      </c>
      <c r="B32" s="7">
        <f t="shared" si="4"/>
        <v>18</v>
      </c>
      <c r="C32" s="69" t="str">
        <f>VLOOKUP($A32,Engine!$D:$H,2,FALSE)</f>
        <v>q</v>
      </c>
      <c r="D32" s="70">
        <f>VLOOKUP($A32,Engine!$D:$H,3,FALSE)</f>
        <v>3</v>
      </c>
      <c r="E32" s="7" t="str">
        <f>VLOOKUP($A32,Engine!$D:$H,5,FALSE)</f>
        <v>Yackas</v>
      </c>
      <c r="F32" s="71"/>
      <c r="G32" s="8">
        <f>L32-VLOOKUP($A32,Engine!$D:$S,15,FALSE)</f>
        <v>0</v>
      </c>
      <c r="H32" s="8">
        <f>N32-VLOOKUP($A32,Engine!$D:$S,16,FALSE)</f>
        <v>68</v>
      </c>
      <c r="I32" s="9"/>
      <c r="J32" s="8" t="str">
        <f>IF(VLOOKUP(E32,Engine!H:Q,10,FALSE)=0,"",VLOOKUP(E32,Engine!H:Q,10,FALSE))</f>
        <v>Storm</v>
      </c>
      <c r="K32" s="72" t="str">
        <f t="shared" si="3"/>
        <v>û</v>
      </c>
      <c r="L32" s="7">
        <f>VLOOKUP($A32,Engine!$D:$Z,22,FALSE)</f>
        <v>14</v>
      </c>
      <c r="M32" s="71"/>
      <c r="N32" s="7">
        <f>VLOOKUP($A32,Engine!$D:$Z,23,FALSE)</f>
        <v>504</v>
      </c>
      <c r="O32" s="76"/>
    </row>
    <row r="33" spans="1:15" s="61" customFormat="1" x14ac:dyDescent="0.35">
      <c r="A33" s="68">
        <f t="shared" si="5"/>
        <v>19</v>
      </c>
      <c r="B33" s="7">
        <f t="shared" si="4"/>
        <v>19</v>
      </c>
      <c r="C33" s="69" t="str">
        <f>VLOOKUP($A33,Engine!$D:$H,2,FALSE)</f>
        <v>p</v>
      </c>
      <c r="D33" s="70">
        <f>VLOOKUP($A33,Engine!$D:$H,3,FALSE)</f>
        <v>12</v>
      </c>
      <c r="E33" s="7" t="str">
        <f>VLOOKUP($A33,Engine!$D:$H,5,FALSE)</f>
        <v>Wiley C</v>
      </c>
      <c r="F33" s="71"/>
      <c r="G33" s="8">
        <f>L33-VLOOKUP($A33,Engine!$D:$S,15,FALSE)</f>
        <v>2</v>
      </c>
      <c r="H33" s="8">
        <f>N33-VLOOKUP($A33,Engine!$D:$S,16,FALSE)</f>
        <v>68</v>
      </c>
      <c r="I33" s="9"/>
      <c r="J33" s="8" t="str">
        <f>IF(VLOOKUP(E33,Engine!H:Q,10,FALSE)=0,"",VLOOKUP(E33,Engine!H:Q,10,FALSE))</f>
        <v>Sharks</v>
      </c>
      <c r="K33" s="72" t="str">
        <f t="shared" si="3"/>
        <v/>
      </c>
      <c r="L33" s="7">
        <f>VLOOKUP($A33,Engine!$D:$Z,22,FALSE)</f>
        <v>14</v>
      </c>
      <c r="M33" s="71"/>
      <c r="N33" s="7">
        <f>VLOOKUP($A33,Engine!$D:$Z,23,FALSE)</f>
        <v>466</v>
      </c>
      <c r="O33" s="76"/>
    </row>
    <row r="34" spans="1:15" s="61" customFormat="1" x14ac:dyDescent="0.35">
      <c r="A34" s="68">
        <f t="shared" si="5"/>
        <v>20</v>
      </c>
      <c r="B34" s="7">
        <f t="shared" si="4"/>
        <v>20</v>
      </c>
      <c r="C34" s="69" t="str">
        <f>VLOOKUP($A34,Engine!$D:$H,2,FALSE)</f>
        <v>p</v>
      </c>
      <c r="D34" s="70">
        <f>VLOOKUP($A34,Engine!$D:$H,3,FALSE)</f>
        <v>13</v>
      </c>
      <c r="E34" s="7" t="str">
        <f>VLOOKUP($A34,Engine!$D:$H,5,FALSE)</f>
        <v>Fouad Khochaiche</v>
      </c>
      <c r="F34" s="71"/>
      <c r="G34" s="8">
        <f>L34-VLOOKUP($A34,Engine!$D:$S,15,FALSE)</f>
        <v>3</v>
      </c>
      <c r="H34" s="8">
        <f>N34-VLOOKUP($A34,Engine!$D:$S,16,FALSE)</f>
        <v>64</v>
      </c>
      <c r="I34" s="9"/>
      <c r="J34" s="8" t="str">
        <f>IF(VLOOKUP(E34,Engine!H:Q,10,FALSE)=0,"",VLOOKUP(E34,Engine!H:Q,10,FALSE))</f>
        <v>Panthers</v>
      </c>
      <c r="K34" s="72" t="str">
        <f t="shared" si="3"/>
        <v>ü</v>
      </c>
      <c r="L34" s="7">
        <f>VLOOKUP($A34,Engine!$D:$Z,22,FALSE)</f>
        <v>14</v>
      </c>
      <c r="M34" s="71"/>
      <c r="N34" s="7">
        <f>VLOOKUP($A34,Engine!$D:$Z,23,FALSE)</f>
        <v>440</v>
      </c>
      <c r="O34" s="76"/>
    </row>
    <row r="35" spans="1:15" s="61" customFormat="1" x14ac:dyDescent="0.35">
      <c r="A35" s="68">
        <f t="shared" si="5"/>
        <v>21</v>
      </c>
      <c r="B35" s="7">
        <f t="shared" si="4"/>
        <v>21</v>
      </c>
      <c r="C35" s="69" t="str">
        <f>VLOOKUP($A35,Engine!$D:$H,2,FALSE)</f>
        <v>q</v>
      </c>
      <c r="D35" s="70">
        <f>VLOOKUP($A35,Engine!$D:$H,3,FALSE)</f>
        <v>8</v>
      </c>
      <c r="E35" s="7" t="str">
        <f>VLOOKUP($A35,Engine!$D:$H,5,FALSE)</f>
        <v>Rossco the Pom</v>
      </c>
      <c r="F35" s="71"/>
      <c r="G35" s="8">
        <f>L35-VLOOKUP($A35,Engine!$D:$S,15,FALSE)</f>
        <v>-1</v>
      </c>
      <c r="H35" s="8">
        <f>N35-VLOOKUP($A35,Engine!$D:$S,16,FALSE)</f>
        <v>64</v>
      </c>
      <c r="I35" s="9"/>
      <c r="J35" s="8" t="str">
        <f>IF(VLOOKUP(E35,Engine!H:Q,10,FALSE)=0,"",VLOOKUP(E35,Engine!H:Q,10,FALSE))</f>
        <v>Storm</v>
      </c>
      <c r="K35" s="72" t="str">
        <f t="shared" si="3"/>
        <v>û</v>
      </c>
      <c r="L35" s="7">
        <f>VLOOKUP($A35,Engine!$D:$Z,22,FALSE)</f>
        <v>13</v>
      </c>
      <c r="M35" s="71"/>
      <c r="N35" s="7">
        <f>VLOOKUP($A35,Engine!$D:$Z,23,FALSE)</f>
        <v>524</v>
      </c>
      <c r="O35" s="76"/>
    </row>
    <row r="36" spans="1:15" s="61" customFormat="1" x14ac:dyDescent="0.35">
      <c r="A36" s="68">
        <f t="shared" si="5"/>
        <v>22</v>
      </c>
      <c r="B36" s="7">
        <f t="shared" si="4"/>
        <v>22</v>
      </c>
      <c r="C36" s="69" t="str">
        <f>VLOOKUP($A36,Engine!$D:$H,2,FALSE)</f>
        <v>q</v>
      </c>
      <c r="D36" s="70">
        <f>VLOOKUP($A36,Engine!$D:$H,3,FALSE)</f>
        <v>3</v>
      </c>
      <c r="E36" s="7" t="str">
        <f>VLOOKUP($A36,Engine!$D:$H,5,FALSE)</f>
        <v>Lou</v>
      </c>
      <c r="F36" s="71"/>
      <c r="G36" s="8">
        <f>L36-VLOOKUP($A36,Engine!$D:$S,15,FALSE)</f>
        <v>0</v>
      </c>
      <c r="H36" s="8">
        <f>N36-VLOOKUP($A36,Engine!$D:$S,16,FALSE)</f>
        <v>68</v>
      </c>
      <c r="I36" s="9"/>
      <c r="J36" s="8" t="str">
        <f>IF(VLOOKUP(E36,Engine!H:Q,10,FALSE)=0,"",VLOOKUP(E36,Engine!H:Q,10,FALSE))</f>
        <v>Storm</v>
      </c>
      <c r="K36" s="72" t="str">
        <f t="shared" si="3"/>
        <v>û</v>
      </c>
      <c r="L36" s="7">
        <f>VLOOKUP($A36,Engine!$D:$Z,22,FALSE)</f>
        <v>13</v>
      </c>
      <c r="M36" s="71"/>
      <c r="N36" s="7">
        <f>VLOOKUP($A36,Engine!$D:$Z,23,FALSE)</f>
        <v>510</v>
      </c>
      <c r="O36" s="76"/>
    </row>
    <row r="37" spans="1:15" s="61" customFormat="1" x14ac:dyDescent="0.35">
      <c r="A37" s="68">
        <f t="shared" si="5"/>
        <v>23</v>
      </c>
      <c r="B37" s="7">
        <f t="shared" si="4"/>
        <v>23</v>
      </c>
      <c r="C37" s="69" t="str">
        <f>VLOOKUP($A37,Engine!$D:$H,2,FALSE)</f>
        <v>q</v>
      </c>
      <c r="D37" s="70">
        <f>VLOOKUP($A37,Engine!$D:$H,3,FALSE)</f>
        <v>3</v>
      </c>
      <c r="E37" s="7" t="str">
        <f>VLOOKUP($A37,Engine!$D:$H,5,FALSE)</f>
        <v>Robert Cook</v>
      </c>
      <c r="F37" s="71"/>
      <c r="G37" s="8">
        <f>L37-VLOOKUP($A37,Engine!$D:$S,15,FALSE)</f>
        <v>0</v>
      </c>
      <c r="H37" s="8">
        <f>N37-VLOOKUP($A37,Engine!$D:$S,16,FALSE)</f>
        <v>68</v>
      </c>
      <c r="I37" s="9"/>
      <c r="J37" s="8" t="str">
        <f>IF(VLOOKUP(E37,Engine!H:Q,10,FALSE)=0,"",VLOOKUP(E37,Engine!H:Q,10,FALSE))</f>
        <v>Storm</v>
      </c>
      <c r="K37" s="72" t="str">
        <f t="shared" si="3"/>
        <v>û</v>
      </c>
      <c r="L37" s="7">
        <f>VLOOKUP($A37,Engine!$D:$Z,22,FALSE)</f>
        <v>13</v>
      </c>
      <c r="M37" s="71"/>
      <c r="N37" s="7">
        <f>VLOOKUP($A37,Engine!$D:$Z,23,FALSE)</f>
        <v>496</v>
      </c>
      <c r="O37" s="76"/>
    </row>
    <row r="38" spans="1:15" s="61" customFormat="1" x14ac:dyDescent="0.35">
      <c r="A38" s="68">
        <f t="shared" si="5"/>
        <v>24</v>
      </c>
      <c r="B38" s="7">
        <f t="shared" si="4"/>
        <v>24</v>
      </c>
      <c r="C38" s="69" t="str">
        <f>VLOOKUP($A38,Engine!$D:$H,2,FALSE)</f>
        <v>q</v>
      </c>
      <c r="D38" s="70">
        <f>VLOOKUP($A38,Engine!$D:$H,3,FALSE)</f>
        <v>3</v>
      </c>
      <c r="E38" s="7" t="str">
        <f>VLOOKUP($A38,Engine!$D:$H,5,FALSE)</f>
        <v>Seano</v>
      </c>
      <c r="F38" s="71"/>
      <c r="G38" s="8">
        <f>L38-VLOOKUP($A38,Engine!$D:$S,15,FALSE)</f>
        <v>0</v>
      </c>
      <c r="H38" s="8">
        <f>N38-VLOOKUP($A38,Engine!$D:$S,16,FALSE)</f>
        <v>68</v>
      </c>
      <c r="I38" s="9"/>
      <c r="J38" s="8" t="str">
        <f>IF(VLOOKUP(E38,Engine!H:Q,10,FALSE)=0,"",VLOOKUP(E38,Engine!H:Q,10,FALSE))</f>
        <v>Storm</v>
      </c>
      <c r="K38" s="72" t="str">
        <f t="shared" si="3"/>
        <v>û</v>
      </c>
      <c r="L38" s="7">
        <f>VLOOKUP($A38,Engine!$D:$Z,22,FALSE)</f>
        <v>13</v>
      </c>
      <c r="M38" s="71"/>
      <c r="N38" s="7">
        <f>VLOOKUP($A38,Engine!$D:$Z,23,FALSE)</f>
        <v>496</v>
      </c>
      <c r="O38" s="76"/>
    </row>
    <row r="39" spans="1:15" s="61" customFormat="1" x14ac:dyDescent="0.35">
      <c r="A39" s="68">
        <f t="shared" si="5"/>
        <v>25</v>
      </c>
      <c r="B39" s="7">
        <f t="shared" si="4"/>
        <v>25</v>
      </c>
      <c r="C39" s="69" t="str">
        <f>VLOOKUP($A39,Engine!$D:$H,2,FALSE)</f>
        <v>p</v>
      </c>
      <c r="D39" s="70">
        <f>VLOOKUP($A39,Engine!$D:$H,3,FALSE)</f>
        <v>3</v>
      </c>
      <c r="E39" s="7" t="str">
        <f>VLOOKUP($A39,Engine!$D:$H,5,FALSE)</f>
        <v>MB</v>
      </c>
      <c r="F39" s="71"/>
      <c r="G39" s="8">
        <f>L39-VLOOKUP($A39,Engine!$D:$S,15,FALSE)</f>
        <v>1</v>
      </c>
      <c r="H39" s="8">
        <f>N39-VLOOKUP($A39,Engine!$D:$S,16,FALSE)</f>
        <v>64</v>
      </c>
      <c r="I39" s="9"/>
      <c r="J39" s="8" t="str">
        <f>IF(VLOOKUP(E39,Engine!H:Q,10,FALSE)=0,"",VLOOKUP(E39,Engine!H:Q,10,FALSE))</f>
        <v>Sharks</v>
      </c>
      <c r="K39" s="72" t="str">
        <f t="shared" si="3"/>
        <v/>
      </c>
      <c r="L39" s="7">
        <f>VLOOKUP($A39,Engine!$D:$Z,22,FALSE)</f>
        <v>13</v>
      </c>
      <c r="M39" s="71"/>
      <c r="N39" s="7">
        <f>VLOOKUP($A39,Engine!$D:$Z,23,FALSE)</f>
        <v>489</v>
      </c>
      <c r="O39" s="76"/>
    </row>
    <row r="40" spans="1:15" s="61" customFormat="1" x14ac:dyDescent="0.35">
      <c r="A40" s="68">
        <f t="shared" si="5"/>
        <v>26</v>
      </c>
      <c r="B40" s="7">
        <f t="shared" si="4"/>
        <v>26</v>
      </c>
      <c r="C40" s="69" t="str">
        <f>VLOOKUP($A40,Engine!$D:$H,2,FALSE)</f>
        <v>p</v>
      </c>
      <c r="D40" s="70">
        <f>VLOOKUP($A40,Engine!$D:$H,3,FALSE)</f>
        <v>19</v>
      </c>
      <c r="E40" s="7" t="str">
        <f>VLOOKUP($A40,Engine!$D:$H,5,FALSE)</f>
        <v>Neville</v>
      </c>
      <c r="F40" s="71"/>
      <c r="G40" s="8">
        <f>L40-VLOOKUP($A40,Engine!$D:$S,15,FALSE)</f>
        <v>5</v>
      </c>
      <c r="H40" s="8">
        <f>N40-VLOOKUP($A40,Engine!$D:$S,16,FALSE)</f>
        <v>72</v>
      </c>
      <c r="I40" s="9"/>
      <c r="J40" s="8" t="str">
        <f>IF(VLOOKUP(E40,Engine!H:Q,10,FALSE)=0,"",VLOOKUP(E40,Engine!H:Q,10,FALSE))</f>
        <v>Panthers</v>
      </c>
      <c r="K40" s="72" t="str">
        <f t="shared" si="3"/>
        <v>ü</v>
      </c>
      <c r="L40" s="7">
        <f>VLOOKUP($A40,Engine!$D:$Z,22,FALSE)</f>
        <v>13</v>
      </c>
      <c r="M40" s="71"/>
      <c r="N40" s="7">
        <f>VLOOKUP($A40,Engine!$D:$Z,23,FALSE)</f>
        <v>486</v>
      </c>
      <c r="O40" s="76"/>
    </row>
    <row r="41" spans="1:15" s="61" customFormat="1" x14ac:dyDescent="0.35">
      <c r="A41" s="68">
        <f t="shared" si="5"/>
        <v>27</v>
      </c>
      <c r="B41" s="7">
        <f t="shared" si="4"/>
        <v>27</v>
      </c>
      <c r="C41" s="69" t="str">
        <f>VLOOKUP($A41,Engine!$D:$H,2,FALSE)</f>
        <v>p</v>
      </c>
      <c r="D41" s="70">
        <f>VLOOKUP($A41,Engine!$D:$H,3,FALSE)</f>
        <v>2</v>
      </c>
      <c r="E41" s="7" t="str">
        <f>VLOOKUP($A41,Engine!$D:$H,5,FALSE)</f>
        <v>Guru2810</v>
      </c>
      <c r="F41" s="71"/>
      <c r="G41" s="8">
        <f>L41-VLOOKUP($A41,Engine!$D:$S,15,FALSE)</f>
        <v>1</v>
      </c>
      <c r="H41" s="8">
        <f>N41-VLOOKUP($A41,Engine!$D:$S,16,FALSE)</f>
        <v>64</v>
      </c>
      <c r="I41" s="9"/>
      <c r="J41" s="8" t="str">
        <f>IF(VLOOKUP(E41,Engine!H:Q,10,FALSE)=0,"",VLOOKUP(E41,Engine!H:Q,10,FALSE))</f>
        <v>Eels</v>
      </c>
      <c r="K41" s="72" t="str">
        <f t="shared" si="3"/>
        <v/>
      </c>
      <c r="L41" s="7">
        <f>VLOOKUP($A41,Engine!$D:$Z,22,FALSE)</f>
        <v>13</v>
      </c>
      <c r="M41" s="71"/>
      <c r="N41" s="7">
        <f>VLOOKUP($A41,Engine!$D:$Z,23,FALSE)</f>
        <v>482</v>
      </c>
      <c r="O41" s="76"/>
    </row>
    <row r="42" spans="1:15" s="61" customFormat="1" x14ac:dyDescent="0.35">
      <c r="A42" s="68">
        <f t="shared" si="5"/>
        <v>28</v>
      </c>
      <c r="B42" s="7">
        <f t="shared" si="4"/>
        <v>28</v>
      </c>
      <c r="C42" s="69" t="str">
        <f>VLOOKUP($A42,Engine!$D:$H,2,FALSE)</f>
        <v>q</v>
      </c>
      <c r="D42" s="70">
        <f>VLOOKUP($A42,Engine!$D:$H,3,FALSE)</f>
        <v>12</v>
      </c>
      <c r="E42" s="7" t="str">
        <f>VLOOKUP($A42,Engine!$D:$H,5,FALSE)</f>
        <v>Micrider</v>
      </c>
      <c r="F42" s="71"/>
      <c r="G42" s="8">
        <f>L42-VLOOKUP($A42,Engine!$D:$S,15,FALSE)</f>
        <v>-1</v>
      </c>
      <c r="H42" s="8">
        <f>N42-VLOOKUP($A42,Engine!$D:$S,16,FALSE)</f>
        <v>64</v>
      </c>
      <c r="I42" s="9"/>
      <c r="J42" s="8" t="str">
        <f>IF(VLOOKUP(E42,Engine!H:Q,10,FALSE)=0,"",VLOOKUP(E42,Engine!H:Q,10,FALSE))</f>
        <v>Storm</v>
      </c>
      <c r="K42" s="72" t="str">
        <f t="shared" si="3"/>
        <v>û</v>
      </c>
      <c r="L42" s="7">
        <f>VLOOKUP($A42,Engine!$D:$Z,22,FALSE)</f>
        <v>13</v>
      </c>
      <c r="M42" s="71"/>
      <c r="N42" s="7">
        <f>VLOOKUP($A42,Engine!$D:$Z,23,FALSE)</f>
        <v>474</v>
      </c>
      <c r="O42" s="76"/>
    </row>
    <row r="43" spans="1:15" s="61" customFormat="1" x14ac:dyDescent="0.35">
      <c r="A43" s="68">
        <f t="shared" si="5"/>
        <v>29</v>
      </c>
      <c r="B43" s="7">
        <f t="shared" si="4"/>
        <v>29</v>
      </c>
      <c r="C43" s="69" t="str">
        <f>VLOOKUP($A43,Engine!$D:$H,2,FALSE)</f>
        <v>q</v>
      </c>
      <c r="D43" s="70">
        <f>VLOOKUP($A43,Engine!$D:$H,3,FALSE)</f>
        <v>5</v>
      </c>
      <c r="E43" s="7" t="str">
        <f>VLOOKUP($A43,Engine!$D:$H,5,FALSE)</f>
        <v>Stallion</v>
      </c>
      <c r="F43" s="71"/>
      <c r="G43" s="8">
        <f>L43-VLOOKUP($A43,Engine!$D:$S,15,FALSE)</f>
        <v>0</v>
      </c>
      <c r="H43" s="8">
        <f>N43-VLOOKUP($A43,Engine!$D:$S,16,FALSE)</f>
        <v>68</v>
      </c>
      <c r="I43" s="9"/>
      <c r="J43" s="8" t="str">
        <f>IF(VLOOKUP(E43,Engine!H:Q,10,FALSE)=0,"",VLOOKUP(E43,Engine!H:Q,10,FALSE))</f>
        <v>Storm</v>
      </c>
      <c r="K43" s="72" t="str">
        <f t="shared" si="3"/>
        <v>û</v>
      </c>
      <c r="L43" s="7">
        <f>VLOOKUP($A43,Engine!$D:$Z,22,FALSE)</f>
        <v>12</v>
      </c>
      <c r="M43" s="71"/>
      <c r="N43" s="7">
        <f>VLOOKUP($A43,Engine!$D:$Z,23,FALSE)</f>
        <v>572</v>
      </c>
      <c r="O43" s="76"/>
    </row>
    <row r="44" spans="1:15" s="61" customFormat="1" x14ac:dyDescent="0.35">
      <c r="A44" s="68">
        <f t="shared" si="5"/>
        <v>30</v>
      </c>
      <c r="B44" s="7">
        <f t="shared" si="4"/>
        <v>30</v>
      </c>
      <c r="C44" s="69" t="str">
        <f>VLOOKUP($A44,Engine!$D:$H,2,FALSE)</f>
        <v>p</v>
      </c>
      <c r="D44" s="70">
        <f>VLOOKUP($A44,Engine!$D:$H,3,FALSE)</f>
        <v>4</v>
      </c>
      <c r="E44" s="7" t="str">
        <f>VLOOKUP($A44,Engine!$D:$H,5,FALSE)</f>
        <v>Big Moose</v>
      </c>
      <c r="F44" s="71"/>
      <c r="G44" s="8">
        <f>L44-VLOOKUP($A44,Engine!$D:$S,15,FALSE)</f>
        <v>2</v>
      </c>
      <c r="H44" s="8">
        <f>N44-VLOOKUP($A44,Engine!$D:$S,16,FALSE)</f>
        <v>68</v>
      </c>
      <c r="I44" s="9"/>
      <c r="J44" s="8" t="str">
        <f>IF(VLOOKUP(E44,Engine!H:Q,10,FALSE)=0,"",VLOOKUP(E44,Engine!H:Q,10,FALSE))</f>
        <v>Warriors</v>
      </c>
      <c r="K44" s="72" t="str">
        <f t="shared" si="3"/>
        <v/>
      </c>
      <c r="L44" s="7">
        <f>VLOOKUP($A44,Engine!$D:$Z,22,FALSE)</f>
        <v>12</v>
      </c>
      <c r="M44" s="71"/>
      <c r="N44" s="7">
        <f>VLOOKUP($A44,Engine!$D:$Z,23,FALSE)</f>
        <v>530</v>
      </c>
      <c r="O44" s="76"/>
    </row>
    <row r="45" spans="1:15" s="61" customFormat="1" x14ac:dyDescent="0.35">
      <c r="A45" s="68">
        <f t="shared" si="5"/>
        <v>31</v>
      </c>
      <c r="B45" s="7">
        <f t="shared" si="4"/>
        <v>31</v>
      </c>
      <c r="C45" s="69" t="str">
        <f>VLOOKUP($A45,Engine!$D:$H,2,FALSE)</f>
        <v>q</v>
      </c>
      <c r="D45" s="70">
        <f>VLOOKUP($A45,Engine!$D:$H,3,FALSE)</f>
        <v>14</v>
      </c>
      <c r="E45" s="7" t="str">
        <f>VLOOKUP($A45,Engine!$D:$H,5,FALSE)</f>
        <v>MR. TAYLOR</v>
      </c>
      <c r="F45" s="71"/>
      <c r="G45" s="8">
        <f>L45-VLOOKUP($A45,Engine!$D:$S,15,FALSE)</f>
        <v>-1</v>
      </c>
      <c r="H45" s="8">
        <f>N45-VLOOKUP($A45,Engine!$D:$S,16,FALSE)</f>
        <v>64</v>
      </c>
      <c r="I45" s="9"/>
      <c r="J45" s="8" t="str">
        <f>IF(VLOOKUP(E45,Engine!H:Q,10,FALSE)=0,"",VLOOKUP(E45,Engine!H:Q,10,FALSE))</f>
        <v>Storm</v>
      </c>
      <c r="K45" s="72" t="str">
        <f t="shared" si="3"/>
        <v>û</v>
      </c>
      <c r="L45" s="7">
        <f>VLOOKUP($A45,Engine!$D:$Z,22,FALSE)</f>
        <v>12</v>
      </c>
      <c r="M45" s="71"/>
      <c r="N45" s="7">
        <f>VLOOKUP($A45,Engine!$D:$Z,23,FALSE)</f>
        <v>517</v>
      </c>
      <c r="O45" s="76"/>
    </row>
    <row r="46" spans="1:15" s="61" customFormat="1" x14ac:dyDescent="0.35">
      <c r="A46" s="68">
        <f t="shared" si="5"/>
        <v>32</v>
      </c>
      <c r="B46" s="7">
        <f t="shared" si="4"/>
        <v>32</v>
      </c>
      <c r="C46" s="69" t="str">
        <f>VLOOKUP($A46,Engine!$D:$H,2,FALSE)</f>
        <v>p</v>
      </c>
      <c r="D46" s="70">
        <f>VLOOKUP($A46,Engine!$D:$H,3,FALSE)</f>
        <v>10</v>
      </c>
      <c r="E46" s="7" t="str">
        <f>VLOOKUP($A46,Engine!$D:$H,5,FALSE)</f>
        <v>Ramin Dadisho</v>
      </c>
      <c r="F46" s="71"/>
      <c r="G46" s="8">
        <f>L46-VLOOKUP($A46,Engine!$D:$S,15,FALSE)</f>
        <v>3</v>
      </c>
      <c r="H46" s="8">
        <f>N46-VLOOKUP($A46,Engine!$D:$S,16,FALSE)</f>
        <v>64</v>
      </c>
      <c r="I46" s="9"/>
      <c r="J46" s="8" t="str">
        <f>IF(VLOOKUP(E46,Engine!H:Q,10,FALSE)=0,"",VLOOKUP(E46,Engine!H:Q,10,FALSE))</f>
        <v>Panthers</v>
      </c>
      <c r="K46" s="72" t="str">
        <f t="shared" si="3"/>
        <v>ü</v>
      </c>
      <c r="L46" s="7">
        <f>VLOOKUP($A46,Engine!$D:$Z,22,FALSE)</f>
        <v>12</v>
      </c>
      <c r="M46" s="71"/>
      <c r="N46" s="7">
        <f>VLOOKUP($A46,Engine!$D:$Z,23,FALSE)</f>
        <v>512</v>
      </c>
      <c r="O46" s="76"/>
    </row>
    <row r="47" spans="1:15" s="61" customFormat="1" x14ac:dyDescent="0.35">
      <c r="A47" s="68">
        <f t="shared" si="5"/>
        <v>33</v>
      </c>
      <c r="B47" s="7">
        <f t="shared" ref="B47:B72" si="6">A47</f>
        <v>33</v>
      </c>
      <c r="C47" s="69" t="str">
        <f>VLOOKUP($A47,Engine!$D:$H,2,FALSE)</f>
        <v>q</v>
      </c>
      <c r="D47" s="70">
        <f>VLOOKUP($A47,Engine!$D:$H,3,FALSE)</f>
        <v>10</v>
      </c>
      <c r="E47" s="7" t="str">
        <f>VLOOKUP($A47,Engine!$D:$H,5,FALSE)</f>
        <v>Runner</v>
      </c>
      <c r="F47" s="71"/>
      <c r="G47" s="8">
        <f>L47-VLOOKUP($A47,Engine!$D:$S,15,FALSE)</f>
        <v>-1</v>
      </c>
      <c r="H47" s="8">
        <f>N47-VLOOKUP($A47,Engine!$D:$S,16,FALSE)</f>
        <v>64</v>
      </c>
      <c r="I47" s="9"/>
      <c r="J47" s="8" t="str">
        <f>IF(VLOOKUP(E47,Engine!H:Q,10,FALSE)=0,"",VLOOKUP(E47,Engine!H:Q,10,FALSE))</f>
        <v>Storm</v>
      </c>
      <c r="K47" s="72" t="str">
        <f t="shared" ref="K47:K72" si="7">IF(COUNTIF(P$4:P$11,J47)=1,R$6,IF(COUNTIF(Q$4:Q$11,J47)=1,R$7,""))</f>
        <v>û</v>
      </c>
      <c r="L47" s="7">
        <f>VLOOKUP($A47,Engine!$D:$Z,22,FALSE)</f>
        <v>11</v>
      </c>
      <c r="M47" s="71"/>
      <c r="N47" s="7">
        <f>VLOOKUP($A47,Engine!$D:$Z,23,FALSE)</f>
        <v>574</v>
      </c>
      <c r="O47" s="74"/>
    </row>
    <row r="48" spans="1:15" s="61" customFormat="1" x14ac:dyDescent="0.35">
      <c r="A48" s="68">
        <f t="shared" si="5"/>
        <v>34</v>
      </c>
      <c r="B48" s="7">
        <f t="shared" si="6"/>
        <v>34</v>
      </c>
      <c r="C48" s="69" t="str">
        <f>VLOOKUP($A48,Engine!$D:$H,2,FALSE)</f>
        <v>q</v>
      </c>
      <c r="D48" s="70">
        <f>VLOOKUP($A48,Engine!$D:$H,3,FALSE)</f>
        <v>9</v>
      </c>
      <c r="E48" s="7" t="str">
        <f>VLOOKUP($A48,Engine!$D:$H,5,FALSE)</f>
        <v>Adel Messih</v>
      </c>
      <c r="F48" s="71"/>
      <c r="G48" s="8">
        <f>L48-VLOOKUP($A48,Engine!$D:$S,15,FALSE)</f>
        <v>-1</v>
      </c>
      <c r="H48" s="8">
        <f>N48-VLOOKUP($A48,Engine!$D:$S,16,FALSE)</f>
        <v>64</v>
      </c>
      <c r="I48" s="9"/>
      <c r="J48" s="8" t="str">
        <f>IF(VLOOKUP(E48,Engine!H:Q,10,FALSE)=0,"",VLOOKUP(E48,Engine!H:Q,10,FALSE))</f>
        <v>Storm</v>
      </c>
      <c r="K48" s="72" t="str">
        <f t="shared" si="7"/>
        <v>û</v>
      </c>
      <c r="L48" s="7">
        <f>VLOOKUP($A48,Engine!$D:$Z,22,FALSE)</f>
        <v>11</v>
      </c>
      <c r="M48" s="71"/>
      <c r="N48" s="7">
        <f>VLOOKUP($A48,Engine!$D:$Z,23,FALSE)</f>
        <v>524</v>
      </c>
      <c r="O48" s="74"/>
    </row>
    <row r="49" spans="1:14" s="61" customFormat="1" x14ac:dyDescent="0.35">
      <c r="A49" s="68">
        <f t="shared" si="5"/>
        <v>35</v>
      </c>
      <c r="B49" s="7">
        <f t="shared" si="6"/>
        <v>35</v>
      </c>
      <c r="C49" s="69" t="str">
        <f>VLOOKUP($A49,Engine!$D:$H,2,FALSE)</f>
        <v>q</v>
      </c>
      <c r="D49" s="70">
        <f>VLOOKUP($A49,Engine!$D:$H,3,FALSE)</f>
        <v>5</v>
      </c>
      <c r="E49" s="7" t="str">
        <f>VLOOKUP($A49,Engine!$D:$H,5,FALSE)</f>
        <v>TheZipZipMan</v>
      </c>
      <c r="F49" s="71"/>
      <c r="G49" s="8">
        <f>L49-VLOOKUP($A49,Engine!$D:$S,15,FALSE)</f>
        <v>-1</v>
      </c>
      <c r="H49" s="8">
        <f>N49-VLOOKUP($A49,Engine!$D:$S,16,FALSE)</f>
        <v>64</v>
      </c>
      <c r="I49" s="9"/>
      <c r="J49" s="8" t="str">
        <f>IF(VLOOKUP(E49,Engine!H:Q,10,FALSE)=0,"",VLOOKUP(E49,Engine!H:Q,10,FALSE))</f>
        <v>Storm</v>
      </c>
      <c r="K49" s="72" t="str">
        <f t="shared" si="7"/>
        <v>û</v>
      </c>
      <c r="L49" s="7">
        <f>VLOOKUP($A49,Engine!$D:$Z,22,FALSE)</f>
        <v>11</v>
      </c>
      <c r="M49" s="71"/>
      <c r="N49" s="7">
        <f>VLOOKUP($A49,Engine!$D:$Z,23,FALSE)</f>
        <v>468</v>
      </c>
    </row>
    <row r="50" spans="1:14" s="61" customFormat="1" x14ac:dyDescent="0.35">
      <c r="A50" s="68">
        <f t="shared" si="5"/>
        <v>36</v>
      </c>
      <c r="B50" s="7">
        <f t="shared" si="6"/>
        <v>36</v>
      </c>
      <c r="C50" s="69" t="str">
        <f>VLOOKUP($A50,Engine!$D:$H,2,FALSE)</f>
        <v>q</v>
      </c>
      <c r="D50" s="70">
        <f>VLOOKUP($A50,Engine!$D:$H,3,FALSE)</f>
        <v>1</v>
      </c>
      <c r="E50" s="7" t="str">
        <f>VLOOKUP($A50,Engine!$D:$H,5,FALSE)</f>
        <v>Pablo</v>
      </c>
      <c r="F50" s="71"/>
      <c r="G50" s="8">
        <f>L50-VLOOKUP($A50,Engine!$D:$S,15,FALSE)</f>
        <v>0</v>
      </c>
      <c r="H50" s="8">
        <f>N50-VLOOKUP($A50,Engine!$D:$S,16,FALSE)</f>
        <v>68</v>
      </c>
      <c r="I50" s="9"/>
      <c r="J50" s="8" t="str">
        <f>IF(VLOOKUP(E50,Engine!H:Q,10,FALSE)=0,"",VLOOKUP(E50,Engine!H:Q,10,FALSE))</f>
        <v>Storm</v>
      </c>
      <c r="K50" s="72" t="str">
        <f t="shared" si="7"/>
        <v>û</v>
      </c>
      <c r="L50" s="7">
        <f>VLOOKUP($A50,Engine!$D:$Z,22,FALSE)</f>
        <v>10</v>
      </c>
      <c r="M50" s="71"/>
      <c r="N50" s="7">
        <f>VLOOKUP($A50,Engine!$D:$Z,23,FALSE)</f>
        <v>529</v>
      </c>
    </row>
    <row r="51" spans="1:14" s="61" customFormat="1" x14ac:dyDescent="0.35">
      <c r="A51" s="68">
        <f t="shared" si="5"/>
        <v>37</v>
      </c>
      <c r="B51" s="7">
        <f t="shared" si="6"/>
        <v>37</v>
      </c>
      <c r="C51" s="69" t="str">
        <f>VLOOKUP($A51,Engine!$D:$H,2,FALSE)</f>
        <v>u</v>
      </c>
      <c r="D51" s="70" t="str">
        <f>VLOOKUP($A51,Engine!$D:$H,3,FALSE)</f>
        <v/>
      </c>
      <c r="E51" s="7" t="str">
        <f>VLOOKUP($A51,Engine!$D:$H,5,FALSE)</f>
        <v>Shagger</v>
      </c>
      <c r="F51" s="71"/>
      <c r="G51" s="8">
        <f>L51-VLOOKUP($A51,Engine!$D:$S,15,FALSE)</f>
        <v>0</v>
      </c>
      <c r="H51" s="8">
        <f>N51-VLOOKUP($A51,Engine!$D:$S,16,FALSE)</f>
        <v>68</v>
      </c>
      <c r="I51" s="9"/>
      <c r="J51" s="8" t="str">
        <f>IF(VLOOKUP(E51,Engine!H:Q,10,FALSE)=0,"",VLOOKUP(E51,Engine!H:Q,10,FALSE))</f>
        <v>Storm</v>
      </c>
      <c r="K51" s="72" t="str">
        <f t="shared" si="7"/>
        <v>û</v>
      </c>
      <c r="L51" s="7">
        <f>VLOOKUP($A51,Engine!$D:$Z,22,FALSE)</f>
        <v>10</v>
      </c>
      <c r="M51" s="71"/>
      <c r="N51" s="7">
        <f>VLOOKUP($A51,Engine!$D:$Z,23,FALSE)</f>
        <v>526</v>
      </c>
    </row>
    <row r="52" spans="1:14" s="61" customFormat="1" x14ac:dyDescent="0.35">
      <c r="A52" s="68">
        <f t="shared" si="5"/>
        <v>38</v>
      </c>
      <c r="B52" s="7">
        <f t="shared" si="6"/>
        <v>38</v>
      </c>
      <c r="C52" s="69" t="str">
        <f>VLOOKUP($A52,Engine!$D:$H,2,FALSE)</f>
        <v>p</v>
      </c>
      <c r="D52" s="70">
        <f>VLOOKUP($A52,Engine!$D:$H,3,FALSE)</f>
        <v>2</v>
      </c>
      <c r="E52" s="7" t="str">
        <f>VLOOKUP($A52,Engine!$D:$H,5,FALSE)</f>
        <v>NotLast</v>
      </c>
      <c r="F52" s="71"/>
      <c r="G52" s="8">
        <f>L52-VLOOKUP($A52,Engine!$D:$S,15,FALSE)</f>
        <v>1</v>
      </c>
      <c r="H52" s="8">
        <f>N52-VLOOKUP($A52,Engine!$D:$S,16,FALSE)</f>
        <v>64</v>
      </c>
      <c r="I52" s="9"/>
      <c r="J52" s="8" t="str">
        <f>IF(VLOOKUP(E52,Engine!H:Q,10,FALSE)=0,"",VLOOKUP(E52,Engine!H:Q,10,FALSE))</f>
        <v>Sharks</v>
      </c>
      <c r="K52" s="72" t="str">
        <f t="shared" si="7"/>
        <v/>
      </c>
      <c r="L52" s="7">
        <f>VLOOKUP($A52,Engine!$D:$Z,22,FALSE)</f>
        <v>10</v>
      </c>
      <c r="M52" s="71"/>
      <c r="N52" s="7">
        <f>VLOOKUP($A52,Engine!$D:$Z,23,FALSE)</f>
        <v>523</v>
      </c>
    </row>
    <row r="53" spans="1:14" s="61" customFormat="1" x14ac:dyDescent="0.35">
      <c r="A53" s="68">
        <f t="shared" si="5"/>
        <v>39</v>
      </c>
      <c r="B53" s="7">
        <f t="shared" si="6"/>
        <v>39</v>
      </c>
      <c r="C53" s="69" t="str">
        <f>VLOOKUP($A53,Engine!$D:$H,2,FALSE)</f>
        <v>u</v>
      </c>
      <c r="D53" s="70" t="str">
        <f>VLOOKUP($A53,Engine!$D:$H,3,FALSE)</f>
        <v/>
      </c>
      <c r="E53" s="7" t="str">
        <f>VLOOKUP($A53,Engine!$D:$H,5,FALSE)</f>
        <v>blakey94</v>
      </c>
      <c r="F53" s="71"/>
      <c r="G53" s="8">
        <f>L53-VLOOKUP($A53,Engine!$D:$S,15,FALSE)</f>
        <v>0</v>
      </c>
      <c r="H53" s="8">
        <f>N53-VLOOKUP($A53,Engine!$D:$S,16,FALSE)</f>
        <v>28</v>
      </c>
      <c r="I53" s="9"/>
      <c r="J53" s="8" t="str">
        <f>IF(VLOOKUP(E53,Engine!H:Q,10,FALSE)=0,"",VLOOKUP(E53,Engine!H:Q,10,FALSE))</f>
        <v>Eels</v>
      </c>
      <c r="K53" s="72" t="str">
        <f t="shared" si="7"/>
        <v/>
      </c>
      <c r="L53" s="7">
        <f>VLOOKUP($A53,Engine!$D:$Z,22,FALSE)</f>
        <v>10</v>
      </c>
      <c r="M53" s="71"/>
      <c r="N53" s="7">
        <f>VLOOKUP($A53,Engine!$D:$Z,23,FALSE)</f>
        <v>469</v>
      </c>
    </row>
    <row r="54" spans="1:14" x14ac:dyDescent="0.35">
      <c r="A54" s="68">
        <f t="shared" si="5"/>
        <v>40</v>
      </c>
      <c r="B54" s="7">
        <f t="shared" si="6"/>
        <v>40</v>
      </c>
      <c r="C54" s="69" t="str">
        <f>VLOOKUP($A54,Engine!$D:$H,2,FALSE)</f>
        <v>q</v>
      </c>
      <c r="D54" s="70">
        <f>VLOOKUP($A54,Engine!$D:$H,3,FALSE)</f>
        <v>13</v>
      </c>
      <c r="E54" s="7" t="str">
        <f>VLOOKUP($A54,Engine!$D:$H,5,FALSE)</f>
        <v>isha68</v>
      </c>
      <c r="F54" s="71"/>
      <c r="G54" s="8">
        <f>L54-VLOOKUP($A54,Engine!$D:$S,15,FALSE)</f>
        <v>-2</v>
      </c>
      <c r="H54" s="8">
        <f>N54-VLOOKUP($A54,Engine!$D:$S,16,FALSE)</f>
        <v>28</v>
      </c>
      <c r="I54" s="9"/>
      <c r="J54" s="8" t="str">
        <f>IF(VLOOKUP(E54,Engine!H:Q,10,FALSE)=0,"",VLOOKUP(E54,Engine!H:Q,10,FALSE))</f>
        <v>Raiders</v>
      </c>
      <c r="K54" s="72" t="str">
        <f t="shared" si="7"/>
        <v>û</v>
      </c>
      <c r="L54" s="7">
        <f>VLOOKUP($A54,Engine!$D:$Z,22,FALSE)</f>
        <v>10</v>
      </c>
      <c r="M54" s="71"/>
      <c r="N54" s="7">
        <f>VLOOKUP($A54,Engine!$D:$Z,23,FALSE)</f>
        <v>455</v>
      </c>
    </row>
    <row r="55" spans="1:14" x14ac:dyDescent="0.35">
      <c r="A55" s="68">
        <f t="shared" si="5"/>
        <v>41</v>
      </c>
      <c r="B55" s="7">
        <f t="shared" si="6"/>
        <v>41</v>
      </c>
      <c r="C55" s="69" t="str">
        <f>VLOOKUP($A55,Engine!$D:$H,2,FALSE)</f>
        <v>u</v>
      </c>
      <c r="D55" s="70" t="str">
        <f>VLOOKUP($A55,Engine!$D:$H,3,FALSE)</f>
        <v/>
      </c>
      <c r="E55" s="7" t="str">
        <f>VLOOKUP($A55,Engine!$D:$H,5,FALSE)</f>
        <v>***Footy Tipper***</v>
      </c>
      <c r="F55" s="71"/>
      <c r="G55" s="8">
        <f>L55-VLOOKUP($A55,Engine!$D:$S,15,FALSE)</f>
        <v>0</v>
      </c>
      <c r="H55" s="8">
        <f>N55-VLOOKUP($A55,Engine!$D:$S,16,FALSE)</f>
        <v>68</v>
      </c>
      <c r="I55" s="9"/>
      <c r="J55" s="8" t="str">
        <f>IF(VLOOKUP(E55,Engine!H:Q,10,FALSE)=0,"",VLOOKUP(E55,Engine!H:Q,10,FALSE))</f>
        <v>Storm</v>
      </c>
      <c r="K55" s="72" t="str">
        <f t="shared" si="7"/>
        <v>û</v>
      </c>
      <c r="L55" s="7">
        <f>VLOOKUP($A55,Engine!$D:$Z,22,FALSE)</f>
        <v>9</v>
      </c>
      <c r="M55" s="71"/>
      <c r="N55" s="7">
        <f>VLOOKUP($A55,Engine!$D:$Z,23,FALSE)</f>
        <v>524</v>
      </c>
    </row>
    <row r="56" spans="1:14" x14ac:dyDescent="0.35">
      <c r="A56" s="68">
        <f t="shared" si="5"/>
        <v>42</v>
      </c>
      <c r="B56" s="7">
        <f t="shared" si="6"/>
        <v>42</v>
      </c>
      <c r="C56" s="69" t="str">
        <f>VLOOKUP($A56,Engine!$D:$H,2,FALSE)</f>
        <v>q</v>
      </c>
      <c r="D56" s="70">
        <f>VLOOKUP($A56,Engine!$D:$H,3,FALSE)</f>
        <v>6</v>
      </c>
      <c r="E56" s="7" t="str">
        <f>VLOOKUP($A56,Engine!$D:$H,5,FALSE)</f>
        <v>Matt Brownie</v>
      </c>
      <c r="F56" s="71"/>
      <c r="G56" s="8">
        <f>L56-VLOOKUP($A56,Engine!$D:$S,15,FALSE)</f>
        <v>-1</v>
      </c>
      <c r="H56" s="8">
        <f>N56-VLOOKUP($A56,Engine!$D:$S,16,FALSE)</f>
        <v>64</v>
      </c>
      <c r="I56" s="9"/>
      <c r="J56" s="8" t="str">
        <f>IF(VLOOKUP(E56,Engine!H:Q,10,FALSE)=0,"",VLOOKUP(E56,Engine!H:Q,10,FALSE))</f>
        <v>Storm</v>
      </c>
      <c r="K56" s="72" t="str">
        <f t="shared" si="7"/>
        <v>û</v>
      </c>
      <c r="L56" s="7">
        <f>VLOOKUP($A56,Engine!$D:$Z,22,FALSE)</f>
        <v>9</v>
      </c>
      <c r="M56" s="71"/>
      <c r="N56" s="7">
        <f>VLOOKUP($A56,Engine!$D:$Z,23,FALSE)</f>
        <v>524</v>
      </c>
    </row>
    <row r="57" spans="1:14" x14ac:dyDescent="0.35">
      <c r="A57" s="68">
        <f t="shared" si="5"/>
        <v>43</v>
      </c>
      <c r="B57" s="7">
        <f t="shared" si="6"/>
        <v>43</v>
      </c>
      <c r="C57" s="69" t="str">
        <f>VLOOKUP($A57,Engine!$D:$H,2,FALSE)</f>
        <v>q</v>
      </c>
      <c r="D57" s="70">
        <f>VLOOKUP($A57,Engine!$D:$H,3,FALSE)</f>
        <v>5</v>
      </c>
      <c r="E57" s="7" t="str">
        <f>VLOOKUP($A57,Engine!$D:$H,5,FALSE)</f>
        <v>Craig Young's Love Child</v>
      </c>
      <c r="F57" s="71"/>
      <c r="G57" s="8">
        <f>L57-VLOOKUP($A57,Engine!$D:$S,15,FALSE)</f>
        <v>-1</v>
      </c>
      <c r="H57" s="8">
        <f>N57-VLOOKUP($A57,Engine!$D:$S,16,FALSE)</f>
        <v>64</v>
      </c>
      <c r="I57" s="9"/>
      <c r="J57" s="8" t="str">
        <f>IF(VLOOKUP(E57,Engine!H:Q,10,FALSE)=0,"",VLOOKUP(E57,Engine!H:Q,10,FALSE))</f>
        <v>Storm</v>
      </c>
      <c r="K57" s="72" t="str">
        <f t="shared" si="7"/>
        <v>û</v>
      </c>
      <c r="L57" s="7">
        <f>VLOOKUP($A57,Engine!$D:$Z,22,FALSE)</f>
        <v>9</v>
      </c>
      <c r="M57" s="71"/>
      <c r="N57" s="7">
        <f>VLOOKUP($A57,Engine!$D:$Z,23,FALSE)</f>
        <v>512</v>
      </c>
    </row>
    <row r="58" spans="1:14" x14ac:dyDescent="0.35">
      <c r="A58" s="68">
        <f t="shared" si="5"/>
        <v>44</v>
      </c>
      <c r="B58" s="7">
        <f t="shared" si="6"/>
        <v>44</v>
      </c>
      <c r="C58" s="69" t="str">
        <f>VLOOKUP($A58,Engine!$D:$H,2,FALSE)</f>
        <v>p</v>
      </c>
      <c r="D58" s="70">
        <f>VLOOKUP($A58,Engine!$D:$H,3,FALSE)</f>
        <v>2</v>
      </c>
      <c r="E58" s="7" t="str">
        <f>VLOOKUP($A58,Engine!$D:$H,5,FALSE)</f>
        <v>BillyB</v>
      </c>
      <c r="F58" s="71"/>
      <c r="G58" s="8">
        <f>L58-VLOOKUP($A58,Engine!$D:$S,15,FALSE)</f>
        <v>2</v>
      </c>
      <c r="H58" s="8">
        <f>N58-VLOOKUP($A58,Engine!$D:$S,16,FALSE)</f>
        <v>68</v>
      </c>
      <c r="I58" s="9"/>
      <c r="J58" s="8" t="str">
        <f>IF(VLOOKUP(E58,Engine!H:Q,10,FALSE)=0,"",VLOOKUP(E58,Engine!H:Q,10,FALSE))</f>
        <v>Wests Tigers</v>
      </c>
      <c r="K58" s="72" t="str">
        <f t="shared" si="7"/>
        <v/>
      </c>
      <c r="L58" s="7">
        <f>VLOOKUP($A58,Engine!$D:$Z,22,FALSE)</f>
        <v>9</v>
      </c>
      <c r="M58" s="71"/>
      <c r="N58" s="7">
        <f>VLOOKUP($A58,Engine!$D:$Z,23,FALSE)</f>
        <v>499</v>
      </c>
    </row>
    <row r="59" spans="1:14" x14ac:dyDescent="0.35">
      <c r="A59" s="68">
        <f t="shared" si="5"/>
        <v>45</v>
      </c>
      <c r="B59" s="7">
        <f t="shared" si="6"/>
        <v>45</v>
      </c>
      <c r="C59" s="69" t="str">
        <f>VLOOKUP($A59,Engine!$D:$H,2,FALSE)</f>
        <v>q</v>
      </c>
      <c r="D59" s="70">
        <f>VLOOKUP($A59,Engine!$D:$H,3,FALSE)</f>
        <v>1</v>
      </c>
      <c r="E59" s="7" t="str">
        <f>VLOOKUP($A59,Engine!$D:$H,5,FALSE)</f>
        <v>SMOG</v>
      </c>
      <c r="F59" s="71"/>
      <c r="G59" s="8">
        <f>L59-VLOOKUP($A59,Engine!$D:$S,15,FALSE)</f>
        <v>1</v>
      </c>
      <c r="H59" s="8">
        <f>N59-VLOOKUP($A59,Engine!$D:$S,16,FALSE)</f>
        <v>64</v>
      </c>
      <c r="I59" s="9"/>
      <c r="J59" s="8" t="str">
        <f>IF(VLOOKUP(E59,Engine!H:Q,10,FALSE)=0,"",VLOOKUP(E59,Engine!H:Q,10,FALSE))</f>
        <v>Warriors</v>
      </c>
      <c r="K59" s="72" t="str">
        <f t="shared" si="7"/>
        <v/>
      </c>
      <c r="L59" s="7">
        <f>VLOOKUP($A59,Engine!$D:$Z,22,FALSE)</f>
        <v>9</v>
      </c>
      <c r="M59" s="71"/>
      <c r="N59" s="7">
        <f>VLOOKUP($A59,Engine!$D:$Z,23,FALSE)</f>
        <v>488</v>
      </c>
    </row>
    <row r="60" spans="1:14" x14ac:dyDescent="0.35">
      <c r="A60" s="68">
        <f t="shared" si="5"/>
        <v>46</v>
      </c>
      <c r="B60" s="7">
        <f t="shared" si="6"/>
        <v>46</v>
      </c>
      <c r="C60" s="69" t="str">
        <f>VLOOKUP($A60,Engine!$D:$H,2,FALSE)</f>
        <v>q</v>
      </c>
      <c r="D60" s="70">
        <f>VLOOKUP($A60,Engine!$D:$H,3,FALSE)</f>
        <v>3</v>
      </c>
      <c r="E60" s="7" t="str">
        <f>VLOOKUP($A60,Engine!$D:$H,5,FALSE)</f>
        <v>gdadisho</v>
      </c>
      <c r="F60" s="71"/>
      <c r="G60" s="8">
        <f>L60-VLOOKUP($A60,Engine!$D:$S,15,FALSE)</f>
        <v>-1</v>
      </c>
      <c r="H60" s="8">
        <f>N60-VLOOKUP($A60,Engine!$D:$S,16,FALSE)</f>
        <v>64</v>
      </c>
      <c r="I60" s="9"/>
      <c r="J60" s="8" t="str">
        <f>IF(VLOOKUP(E60,Engine!H:Q,10,FALSE)=0,"",VLOOKUP(E60,Engine!H:Q,10,FALSE))</f>
        <v>Storm</v>
      </c>
      <c r="K60" s="72" t="str">
        <f t="shared" si="7"/>
        <v>û</v>
      </c>
      <c r="L60" s="7">
        <f>VLOOKUP($A60,Engine!$D:$Z,22,FALSE)</f>
        <v>8</v>
      </c>
      <c r="M60" s="71"/>
      <c r="N60" s="7">
        <f>VLOOKUP($A60,Engine!$D:$Z,23,FALSE)</f>
        <v>484</v>
      </c>
    </row>
    <row r="61" spans="1:14" x14ac:dyDescent="0.35">
      <c r="A61" s="68">
        <f t="shared" si="5"/>
        <v>47</v>
      </c>
      <c r="B61" s="7">
        <f t="shared" si="6"/>
        <v>47</v>
      </c>
      <c r="C61" s="69" t="str">
        <f>VLOOKUP($A61,Engine!$D:$H,2,FALSE)</f>
        <v>p</v>
      </c>
      <c r="D61" s="70">
        <f>VLOOKUP($A61,Engine!$D:$H,3,FALSE)</f>
        <v>1</v>
      </c>
      <c r="E61" s="7" t="str">
        <f>VLOOKUP($A61,Engine!$D:$H,5,FALSE)</f>
        <v>Carlos</v>
      </c>
      <c r="F61" s="71"/>
      <c r="G61" s="8">
        <f>L61-VLOOKUP($A61,Engine!$D:$S,15,FALSE)</f>
        <v>2</v>
      </c>
      <c r="H61" s="8">
        <f>N61-VLOOKUP($A61,Engine!$D:$S,16,FALSE)</f>
        <v>68</v>
      </c>
      <c r="I61" s="9"/>
      <c r="J61" s="8" t="str">
        <f>IF(VLOOKUP(E61,Engine!H:Q,10,FALSE)=0,"",VLOOKUP(E61,Engine!H:Q,10,FALSE))</f>
        <v>Sharks</v>
      </c>
      <c r="K61" s="72" t="str">
        <f t="shared" si="7"/>
        <v/>
      </c>
      <c r="L61" s="7">
        <f>VLOOKUP($A61,Engine!$D:$Z,22,FALSE)</f>
        <v>7</v>
      </c>
      <c r="M61" s="71"/>
      <c r="N61" s="7">
        <f>VLOOKUP($A61,Engine!$D:$Z,23,FALSE)</f>
        <v>521</v>
      </c>
    </row>
    <row r="62" spans="1:14" x14ac:dyDescent="0.35">
      <c r="A62" s="68">
        <f t="shared" si="5"/>
        <v>48</v>
      </c>
      <c r="B62" s="7">
        <f t="shared" si="6"/>
        <v>48</v>
      </c>
      <c r="C62" s="69" t="str">
        <f>VLOOKUP($A62,Engine!$D:$H,2,FALSE)</f>
        <v>q</v>
      </c>
      <c r="D62" s="70">
        <f>VLOOKUP($A62,Engine!$D:$H,3,FALSE)</f>
        <v>1</v>
      </c>
      <c r="E62" s="7" t="str">
        <f>VLOOKUP($A62,Engine!$D:$H,5,FALSE)</f>
        <v>Krusty</v>
      </c>
      <c r="F62" s="71"/>
      <c r="G62" s="8">
        <f>L62-VLOOKUP($A62,Engine!$D:$S,15,FALSE)</f>
        <v>-1</v>
      </c>
      <c r="H62" s="8">
        <f>N62-VLOOKUP($A62,Engine!$D:$S,16,FALSE)</f>
        <v>64</v>
      </c>
      <c r="I62" s="9"/>
      <c r="J62" s="8" t="str">
        <f>IF(VLOOKUP(E62,Engine!H:Q,10,FALSE)=0,"",VLOOKUP(E62,Engine!H:Q,10,FALSE))</f>
        <v>Storm</v>
      </c>
      <c r="K62" s="72" t="str">
        <f t="shared" si="7"/>
        <v>û</v>
      </c>
      <c r="L62" s="7">
        <f>VLOOKUP($A62,Engine!$D:$Z,22,FALSE)</f>
        <v>4</v>
      </c>
      <c r="M62" s="71"/>
      <c r="N62" s="7">
        <f>VLOOKUP($A62,Engine!$D:$Z,23,FALSE)</f>
        <v>521</v>
      </c>
    </row>
    <row r="63" spans="1:14" x14ac:dyDescent="0.35">
      <c r="A63" s="68">
        <f t="shared" si="5"/>
        <v>49</v>
      </c>
      <c r="B63" s="7">
        <f t="shared" si="6"/>
        <v>49</v>
      </c>
      <c r="C63" s="69" t="str">
        <f>VLOOKUP($A63,Engine!$D:$H,2,FALSE)</f>
        <v>u</v>
      </c>
      <c r="D63" s="70" t="str">
        <f>VLOOKUP($A63,Engine!$D:$H,3,FALSE)</f>
        <v/>
      </c>
      <c r="E63" s="7" t="str">
        <f>VLOOKUP($A63,Engine!$D:$H,5,FALSE)</f>
        <v>Westy</v>
      </c>
      <c r="F63" s="71"/>
      <c r="G63" s="8">
        <f>L63-VLOOKUP($A63,Engine!$D:$S,15,FALSE)</f>
        <v>-1</v>
      </c>
      <c r="H63" s="8">
        <f>N63-VLOOKUP($A63,Engine!$D:$S,16,FALSE)</f>
        <v>64</v>
      </c>
      <c r="I63" s="9"/>
      <c r="J63" s="8" t="str">
        <f>IF(VLOOKUP(E63,Engine!H:Q,10,FALSE)=0,"",VLOOKUP(E63,Engine!H:Q,10,FALSE))</f>
        <v>Storm</v>
      </c>
      <c r="K63" s="72" t="str">
        <f t="shared" si="7"/>
        <v>û</v>
      </c>
      <c r="L63" s="7">
        <f>VLOOKUP($A63,Engine!$D:$Z,22,FALSE)</f>
        <v>4</v>
      </c>
      <c r="M63" s="71"/>
      <c r="N63" s="7">
        <f>VLOOKUP($A63,Engine!$D:$Z,23,FALSE)</f>
        <v>515</v>
      </c>
    </row>
    <row r="64" spans="1:14" x14ac:dyDescent="0.35">
      <c r="A64" s="68">
        <f t="shared" si="5"/>
        <v>50</v>
      </c>
      <c r="B64" s="7">
        <f t="shared" si="6"/>
        <v>50</v>
      </c>
      <c r="C64" s="69" t="str">
        <f>VLOOKUP($A64,Engine!$D:$H,2,FALSE)</f>
        <v>u</v>
      </c>
      <c r="D64" s="70" t="str">
        <f>VLOOKUP($A64,Engine!$D:$H,3,FALSE)</f>
        <v/>
      </c>
      <c r="E64" s="7" t="str">
        <f>VLOOKUP($A64,Engine!$D:$H,5,FALSE)</f>
        <v>Splinter</v>
      </c>
      <c r="F64" s="71"/>
      <c r="G64" s="8">
        <f>L64-VLOOKUP($A64,Engine!$D:$S,15,FALSE)</f>
        <v>-2</v>
      </c>
      <c r="H64" s="8">
        <f>N64-VLOOKUP($A64,Engine!$D:$S,16,FALSE)</f>
        <v>28</v>
      </c>
      <c r="I64" s="9"/>
      <c r="J64" s="8" t="str">
        <f>IF(VLOOKUP(E64,Engine!H:Q,10,FALSE)=0,"",VLOOKUP(E64,Engine!H:Q,10,FALSE))</f>
        <v>Storm</v>
      </c>
      <c r="K64" s="72" t="str">
        <f t="shared" si="7"/>
        <v>û</v>
      </c>
      <c r="L64" s="7">
        <f>VLOOKUP($A64,Engine!$D:$Z,22,FALSE)</f>
        <v>2</v>
      </c>
      <c r="M64" s="71"/>
      <c r="N64" s="7">
        <f>VLOOKUP($A64,Engine!$D:$Z,23,FALSE)</f>
        <v>310</v>
      </c>
    </row>
    <row r="65" spans="1:14" x14ac:dyDescent="0.35">
      <c r="A65" s="68">
        <f t="shared" si="5"/>
        <v>51</v>
      </c>
      <c r="B65" s="7">
        <f t="shared" si="6"/>
        <v>51</v>
      </c>
      <c r="C65" s="69" t="str">
        <f>VLOOKUP($A65,Engine!$D:$H,2,FALSE)</f>
        <v>u</v>
      </c>
      <c r="D65" s="70" t="str">
        <f>VLOOKUP($A65,Engine!$D:$H,3,FALSE)</f>
        <v/>
      </c>
      <c r="E65" s="7" t="str">
        <f>VLOOKUP($A65,Engine!$D:$H,5,FALSE)</f>
        <v>MLC</v>
      </c>
      <c r="F65" s="71"/>
      <c r="G65" s="8">
        <f>L65-VLOOKUP($A65,Engine!$D:$S,15,FALSE)</f>
        <v>-1</v>
      </c>
      <c r="H65" s="8">
        <f>N65-VLOOKUP($A65,Engine!$D:$S,16,FALSE)</f>
        <v>32</v>
      </c>
      <c r="I65" s="9"/>
      <c r="J65" s="8" t="str">
        <f>IF(VLOOKUP(E65,Engine!H:Q,10,FALSE)=0,"",VLOOKUP(E65,Engine!H:Q,10,FALSE))</f>
        <v>Raiders</v>
      </c>
      <c r="K65" s="72" t="str">
        <f t="shared" si="7"/>
        <v>û</v>
      </c>
      <c r="L65" s="7">
        <f>VLOOKUP($A65,Engine!$D:$Z,22,FALSE)</f>
        <v>-1</v>
      </c>
      <c r="M65" s="71"/>
      <c r="N65" s="7">
        <f>VLOOKUP($A65,Engine!$D:$Z,23,FALSE)</f>
        <v>345</v>
      </c>
    </row>
    <row r="66" spans="1:14" hidden="1" x14ac:dyDescent="0.35">
      <c r="A66" s="68">
        <f t="shared" si="5"/>
        <v>52</v>
      </c>
      <c r="B66" s="7">
        <f t="shared" si="6"/>
        <v>52</v>
      </c>
      <c r="C66" s="69" t="e">
        <f>VLOOKUP($A66,Engine!$D:$H,2,FALSE)</f>
        <v>#N/A</v>
      </c>
      <c r="D66" s="70" t="e">
        <f>VLOOKUP($A66,Engine!$D:$H,3,FALSE)</f>
        <v>#N/A</v>
      </c>
      <c r="E66" s="7" t="e">
        <f>VLOOKUP($A66,Engine!$D:$H,5,FALSE)</f>
        <v>#N/A</v>
      </c>
      <c r="F66" s="71"/>
      <c r="G66" s="8" t="e">
        <f>L66-VLOOKUP($A66,Engine!$D:$S,15,FALSE)</f>
        <v>#N/A</v>
      </c>
      <c r="H66" s="8" t="e">
        <f>N66-VLOOKUP($A66,Engine!$D:$S,16,FALSE)</f>
        <v>#N/A</v>
      </c>
      <c r="I66" s="9"/>
      <c r="J66" s="8" t="e">
        <f>IF(VLOOKUP(E66,Engine!H:Q,10,FALSE)=0,"",VLOOKUP(E66,Engine!H:Q,10,FALSE))</f>
        <v>#N/A</v>
      </c>
      <c r="K66" s="72" t="str">
        <f t="shared" si="7"/>
        <v/>
      </c>
      <c r="L66" s="7" t="e">
        <f>VLOOKUP($A66,Engine!$D:$Z,22,FALSE)</f>
        <v>#N/A</v>
      </c>
      <c r="M66" s="71"/>
      <c r="N66" s="7" t="e">
        <f>VLOOKUP($A66,Engine!$D:$Z,23,FALSE)</f>
        <v>#N/A</v>
      </c>
    </row>
    <row r="67" spans="1:14" hidden="1" x14ac:dyDescent="0.35">
      <c r="A67" s="68">
        <f t="shared" si="5"/>
        <v>53</v>
      </c>
      <c r="B67" s="7">
        <f t="shared" si="6"/>
        <v>53</v>
      </c>
      <c r="C67" s="69" t="e">
        <f>VLOOKUP($A67,Engine!$D:$H,2,FALSE)</f>
        <v>#N/A</v>
      </c>
      <c r="D67" s="70" t="e">
        <f>VLOOKUP($A67,Engine!$D:$H,3,FALSE)</f>
        <v>#N/A</v>
      </c>
      <c r="E67" s="7" t="e">
        <f>VLOOKUP($A67,Engine!$D:$H,5,FALSE)</f>
        <v>#N/A</v>
      </c>
      <c r="F67" s="71"/>
      <c r="G67" s="8" t="e">
        <f>L67-VLOOKUP($A67,Engine!$D:$S,15,FALSE)</f>
        <v>#N/A</v>
      </c>
      <c r="H67" s="8" t="e">
        <f>N67-VLOOKUP($A67,Engine!$D:$S,16,FALSE)</f>
        <v>#N/A</v>
      </c>
      <c r="I67" s="9"/>
      <c r="J67" s="8" t="e">
        <f>IF(VLOOKUP(E67,Engine!H:Q,10,FALSE)=0,"",VLOOKUP(E67,Engine!H:Q,10,FALSE))</f>
        <v>#N/A</v>
      </c>
      <c r="K67" s="72" t="str">
        <f t="shared" si="7"/>
        <v/>
      </c>
      <c r="L67" s="7" t="e">
        <f>VLOOKUP($A67,Engine!$D:$Z,22,FALSE)</f>
        <v>#N/A</v>
      </c>
      <c r="M67" s="71"/>
      <c r="N67" s="7" t="e">
        <f>VLOOKUP($A67,Engine!$D:$Z,23,FALSE)</f>
        <v>#N/A</v>
      </c>
    </row>
    <row r="68" spans="1:14" hidden="1" x14ac:dyDescent="0.35">
      <c r="A68" s="68">
        <f t="shared" si="5"/>
        <v>54</v>
      </c>
      <c r="B68" s="7">
        <f t="shared" si="6"/>
        <v>54</v>
      </c>
      <c r="C68" s="69" t="e">
        <f>VLOOKUP($A68,Engine!$D:$H,2,FALSE)</f>
        <v>#N/A</v>
      </c>
      <c r="D68" s="70" t="e">
        <f>VLOOKUP($A68,Engine!$D:$H,3,FALSE)</f>
        <v>#N/A</v>
      </c>
      <c r="E68" s="7" t="e">
        <f>VLOOKUP($A68,Engine!$D:$H,5,FALSE)</f>
        <v>#N/A</v>
      </c>
      <c r="F68" s="71"/>
      <c r="G68" s="8" t="e">
        <f>L68-VLOOKUP($A68,Engine!$D:$S,15,FALSE)</f>
        <v>#N/A</v>
      </c>
      <c r="H68" s="8" t="e">
        <f>N68-VLOOKUP($A68,Engine!$D:$S,16,FALSE)</f>
        <v>#N/A</v>
      </c>
      <c r="I68" s="9"/>
      <c r="J68" s="8" t="e">
        <f>IF(VLOOKUP(E68,Engine!H:Q,10,FALSE)=0,"",VLOOKUP(E68,Engine!H:Q,10,FALSE))</f>
        <v>#N/A</v>
      </c>
      <c r="K68" s="72" t="str">
        <f t="shared" si="7"/>
        <v/>
      </c>
      <c r="L68" s="7" t="e">
        <f>VLOOKUP($A68,Engine!$D:$Z,22,FALSE)</f>
        <v>#N/A</v>
      </c>
      <c r="M68" s="71"/>
      <c r="N68" s="7" t="e">
        <f>VLOOKUP($A68,Engine!$D:$Z,23,FALSE)</f>
        <v>#N/A</v>
      </c>
    </row>
    <row r="69" spans="1:14" hidden="1" x14ac:dyDescent="0.35">
      <c r="A69" s="68">
        <f t="shared" si="5"/>
        <v>55</v>
      </c>
      <c r="B69" s="7">
        <f t="shared" si="6"/>
        <v>55</v>
      </c>
      <c r="C69" s="69" t="e">
        <f>VLOOKUP($A69,Engine!$D:$H,2,FALSE)</f>
        <v>#N/A</v>
      </c>
      <c r="D69" s="70" t="e">
        <f>VLOOKUP($A69,Engine!$D:$H,3,FALSE)</f>
        <v>#N/A</v>
      </c>
      <c r="E69" s="7" t="e">
        <f>VLOOKUP($A69,Engine!$D:$H,5,FALSE)</f>
        <v>#N/A</v>
      </c>
      <c r="F69" s="71"/>
      <c r="G69" s="8" t="e">
        <f>L69-VLOOKUP($A69,Engine!$D:$S,15,FALSE)</f>
        <v>#N/A</v>
      </c>
      <c r="H69" s="8" t="e">
        <f>N69-VLOOKUP($A69,Engine!$D:$S,16,FALSE)</f>
        <v>#N/A</v>
      </c>
      <c r="I69" s="9"/>
      <c r="J69" s="8" t="e">
        <f>IF(VLOOKUP(E69,Engine!H:Q,10,FALSE)=0,"",VLOOKUP(E69,Engine!H:Q,10,FALSE))</f>
        <v>#N/A</v>
      </c>
      <c r="K69" s="72" t="str">
        <f t="shared" si="7"/>
        <v/>
      </c>
      <c r="L69" s="7" t="e">
        <f>VLOOKUP($A69,Engine!$D:$Z,22,FALSE)</f>
        <v>#N/A</v>
      </c>
      <c r="M69" s="71"/>
      <c r="N69" s="7" t="e">
        <f>VLOOKUP($A69,Engine!$D:$Z,23,FALSE)</f>
        <v>#N/A</v>
      </c>
    </row>
    <row r="70" spans="1:14" hidden="1" x14ac:dyDescent="0.35">
      <c r="A70" s="68">
        <f t="shared" si="5"/>
        <v>56</v>
      </c>
      <c r="B70" s="7">
        <f t="shared" si="6"/>
        <v>56</v>
      </c>
      <c r="C70" s="69" t="e">
        <f>VLOOKUP($A70,Engine!$D:$H,2,FALSE)</f>
        <v>#N/A</v>
      </c>
      <c r="D70" s="70" t="e">
        <f>VLOOKUP($A70,Engine!$D:$H,3,FALSE)</f>
        <v>#N/A</v>
      </c>
      <c r="E70" s="7" t="e">
        <f>VLOOKUP($A70,Engine!$D:$H,5,FALSE)</f>
        <v>#N/A</v>
      </c>
      <c r="F70" s="71"/>
      <c r="G70" s="8" t="e">
        <f>L70-VLOOKUP($A70,Engine!$D:$S,15,FALSE)</f>
        <v>#N/A</v>
      </c>
      <c r="H70" s="8" t="e">
        <f>N70-VLOOKUP($A70,Engine!$D:$S,16,FALSE)</f>
        <v>#N/A</v>
      </c>
      <c r="I70" s="9"/>
      <c r="J70" s="8" t="e">
        <f>IF(VLOOKUP(E70,Engine!H:Q,10,FALSE)=0,"",VLOOKUP(E70,Engine!H:Q,10,FALSE))</f>
        <v>#N/A</v>
      </c>
      <c r="K70" s="72" t="str">
        <f t="shared" si="7"/>
        <v/>
      </c>
      <c r="L70" s="7" t="e">
        <f>VLOOKUP($A70,Engine!$D:$Z,22,FALSE)</f>
        <v>#N/A</v>
      </c>
      <c r="M70" s="71"/>
      <c r="N70" s="7" t="e">
        <f>VLOOKUP($A70,Engine!$D:$Z,23,FALSE)</f>
        <v>#N/A</v>
      </c>
    </row>
    <row r="71" spans="1:14" hidden="1" x14ac:dyDescent="0.35">
      <c r="A71" s="68">
        <f t="shared" si="5"/>
        <v>57</v>
      </c>
      <c r="B71" s="7">
        <f t="shared" si="6"/>
        <v>57</v>
      </c>
      <c r="C71" s="69" t="e">
        <f>VLOOKUP($A71,Engine!$D:$H,2,FALSE)</f>
        <v>#N/A</v>
      </c>
      <c r="D71" s="70" t="e">
        <f>VLOOKUP($A71,Engine!$D:$H,3,FALSE)</f>
        <v>#N/A</v>
      </c>
      <c r="E71" s="7" t="e">
        <f>VLOOKUP($A71,Engine!$D:$H,5,FALSE)</f>
        <v>#N/A</v>
      </c>
      <c r="F71" s="71"/>
      <c r="G71" s="8" t="e">
        <f>L71-VLOOKUP($A71,Engine!$D:$S,15,FALSE)</f>
        <v>#N/A</v>
      </c>
      <c r="H71" s="8" t="e">
        <f>N71-VLOOKUP($A71,Engine!$D:$S,16,FALSE)</f>
        <v>#N/A</v>
      </c>
      <c r="I71" s="9"/>
      <c r="J71" s="8" t="e">
        <f>IF(VLOOKUP(E71,Engine!H:Q,10,FALSE)=0,"",VLOOKUP(E71,Engine!H:Q,10,FALSE))</f>
        <v>#N/A</v>
      </c>
      <c r="K71" s="72" t="str">
        <f t="shared" si="7"/>
        <v/>
      </c>
      <c r="L71" s="7" t="e">
        <f>VLOOKUP($A71,Engine!$D:$Z,22,FALSE)</f>
        <v>#N/A</v>
      </c>
      <c r="M71" s="71"/>
      <c r="N71" s="7" t="e">
        <f>VLOOKUP($A71,Engine!$D:$Z,23,FALSE)</f>
        <v>#N/A</v>
      </c>
    </row>
    <row r="72" spans="1:14" hidden="1" x14ac:dyDescent="0.35">
      <c r="A72" s="68">
        <f t="shared" si="5"/>
        <v>58</v>
      </c>
      <c r="B72" s="7">
        <f t="shared" si="6"/>
        <v>58</v>
      </c>
      <c r="C72" s="69" t="e">
        <f>VLOOKUP($A72,Engine!$D:$H,2,FALSE)</f>
        <v>#N/A</v>
      </c>
      <c r="D72" s="70" t="e">
        <f>VLOOKUP($A72,Engine!$D:$H,3,FALSE)</f>
        <v>#N/A</v>
      </c>
      <c r="E72" s="7" t="e">
        <f>VLOOKUP($A72,Engine!$D:$H,5,FALSE)</f>
        <v>#N/A</v>
      </c>
      <c r="F72" s="71"/>
      <c r="G72" s="8" t="e">
        <f>L72-VLOOKUP($A72,Engine!$D:$S,15,FALSE)</f>
        <v>#N/A</v>
      </c>
      <c r="H72" s="8" t="e">
        <f>N72-VLOOKUP($A72,Engine!$D:$S,16,FALSE)</f>
        <v>#N/A</v>
      </c>
      <c r="I72" s="9"/>
      <c r="J72" s="8" t="e">
        <f>IF(VLOOKUP(E72,Engine!H:Q,10,FALSE)=0,"",VLOOKUP(E72,Engine!H:Q,10,FALSE))</f>
        <v>#N/A</v>
      </c>
      <c r="K72" s="72" t="str">
        <f t="shared" si="7"/>
        <v/>
      </c>
      <c r="L72" s="7" t="e">
        <f>VLOOKUP($A72,Engine!$D:$Z,22,FALSE)</f>
        <v>#N/A</v>
      </c>
      <c r="M72" s="71"/>
      <c r="N72" s="7" t="e">
        <f>VLOOKUP($A72,Engine!$D:$Z,23,FALSE)</f>
        <v>#N/A</v>
      </c>
    </row>
  </sheetData>
  <sheetProtection algorithmName="SHA-512" hashValue="EIGXB5pQdmOyANSpAdJgqg1Iht3A5+Bp8MfKPKhkxvmaQIyqLiBu5bPGFPbbuKKwh8KvCBJoK5chyewqtH0TMw==" saltValue="OhBEQhK8rw+nt4dpSZ+KPA==" spinCount="100000" sheet="1" objects="1" scenarios="1" selectLockedCells="1"/>
  <mergeCells count="11">
    <mergeCell ref="B1:O1"/>
    <mergeCell ref="Z11:AB11"/>
    <mergeCell ref="C3:D3"/>
    <mergeCell ref="L13:N13"/>
    <mergeCell ref="B13:D13"/>
    <mergeCell ref="G13:J13"/>
    <mergeCell ref="G3:H3"/>
    <mergeCell ref="L3:N3"/>
    <mergeCell ref="G6:J6"/>
    <mergeCell ref="L6:N6"/>
    <mergeCell ref="G4:J4"/>
  </mergeCells>
  <conditionalFormatting sqref="B4:B11 E4:E11">
    <cfRule type="cellIs" dxfId="26" priority="88" stopIfTrue="1" operator="equal">
      <formula>#REF!</formula>
    </cfRule>
    <cfRule type="cellIs" dxfId="25" priority="89" stopIfTrue="1" operator="equal">
      <formula>#REF!</formula>
    </cfRule>
    <cfRule type="cellIs" dxfId="24" priority="90" stopIfTrue="1" operator="equal">
      <formula>"ERROR"</formula>
    </cfRule>
  </conditionalFormatting>
  <conditionalFormatting sqref="B15:B72 E15:E72 G15:H72 J15:J72 L15:L72 N15:N72">
    <cfRule type="expression" dxfId="23" priority="1" stopIfTrue="1">
      <formula>$C15=$R$4</formula>
    </cfRule>
    <cfRule type="expression" dxfId="22" priority="2" stopIfTrue="1">
      <formula>$C15=$R$3</formula>
    </cfRule>
  </conditionalFormatting>
  <conditionalFormatting sqref="C8:D8">
    <cfRule type="expression" dxfId="21" priority="16">
      <formula>$T$3&lt;5</formula>
    </cfRule>
  </conditionalFormatting>
  <conditionalFormatting sqref="C9:D9">
    <cfRule type="expression" dxfId="20" priority="17">
      <formula>$T$3&lt;6</formula>
    </cfRule>
  </conditionalFormatting>
  <conditionalFormatting sqref="C10:D10">
    <cfRule type="expression" dxfId="19" priority="18">
      <formula>$T$3&lt;7</formula>
    </cfRule>
  </conditionalFormatting>
  <conditionalFormatting sqref="C11:D11">
    <cfRule type="expression" dxfId="18" priority="19">
      <formula>$T$3&lt;8</formula>
    </cfRule>
  </conditionalFormatting>
  <conditionalFormatting sqref="C15:D72">
    <cfRule type="expression" dxfId="17" priority="3">
      <formula>$C15=$R$4</formula>
    </cfRule>
    <cfRule type="expression" dxfId="16" priority="4">
      <formula>$C15=$R$3</formula>
    </cfRule>
  </conditionalFormatting>
  <conditionalFormatting sqref="G8:H8 J8 L8 N8">
    <cfRule type="expression" dxfId="15" priority="27">
      <formula>$M$4=$R$5</formula>
    </cfRule>
    <cfRule type="expression" dxfId="14" priority="28">
      <formula>$M$4=$R$4</formula>
    </cfRule>
    <cfRule type="expression" dxfId="13" priority="29">
      <formula>$M$4=$R$3</formula>
    </cfRule>
  </conditionalFormatting>
  <conditionalFormatting sqref="K8 K15:K72">
    <cfRule type="expression" dxfId="12" priority="23">
      <formula>$K8=$R$7</formula>
    </cfRule>
  </conditionalFormatting>
  <conditionalFormatting sqref="L4:N4">
    <cfRule type="expression" dxfId="11" priority="20">
      <formula>$M$4=$R$5</formula>
    </cfRule>
    <cfRule type="expression" dxfId="10" priority="21">
      <formula>$M$4=$R$4</formula>
    </cfRule>
    <cfRule type="expression" dxfId="9" priority="22">
      <formula>$M$4=$R$3</formula>
    </cfRule>
  </conditionalFormatting>
  <pageMargins left="0.7" right="0.7" top="0.75" bottom="0.75" header="0.3" footer="0.3"/>
  <pageSetup paperSize="9" orientation="portrait" r:id="rId1"/>
  <ignoredErrors>
    <ignoredError sqref="S13 T13:U1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8088A0-DB40-4D97-990E-4DED10BCA4E6}">
          <x14:formula1>
            <xm:f>Engine!$H$2:$H$55</xm:f>
          </x14:formula1>
          <xm:sqref>G4:J4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L97"/>
  <sheetViews>
    <sheetView topLeftCell="A86" workbookViewId="0">
      <selection activeCell="H95" sqref="H95:Q95"/>
    </sheetView>
  </sheetViews>
  <sheetFormatPr defaultRowHeight="14.5" x14ac:dyDescent="0.35"/>
  <cols>
    <col min="3" max="3" width="46" style="111" bestFit="1" customWidth="1"/>
    <col min="8" max="8" width="17.453125" bestFit="1" customWidth="1"/>
    <col min="9" max="9" width="9.1796875" bestFit="1" customWidth="1"/>
    <col min="10" max="10" width="7.54296875" bestFit="1" customWidth="1"/>
    <col min="11" max="11" width="11.26953125" bestFit="1" customWidth="1"/>
    <col min="12" max="12" width="7" bestFit="1" customWidth="1"/>
    <col min="13" max="13" width="10" bestFit="1" customWidth="1"/>
    <col min="14" max="14" width="6.81640625" bestFit="1" customWidth="1"/>
    <col min="15" max="15" width="7.81640625" bestFit="1" customWidth="1"/>
    <col min="16" max="16" width="8.1796875" bestFit="1" customWidth="1"/>
    <col min="17" max="17" width="11.453125" bestFit="1" customWidth="1"/>
    <col min="18" max="19" width="8.7265625" style="1"/>
    <col min="20" max="20" width="9.6328125" style="1" bestFit="1" customWidth="1"/>
    <col min="21" max="21" width="10.08984375" style="1" bestFit="1" customWidth="1"/>
    <col min="22" max="24" width="8.7265625" style="1"/>
    <col min="27" max="27" width="17.1796875" style="111" bestFit="1" customWidth="1"/>
    <col min="32" max="32" width="10" bestFit="1" customWidth="1"/>
    <col min="33" max="34" width="9.81640625" bestFit="1" customWidth="1"/>
    <col min="35" max="35" width="10.08984375" bestFit="1" customWidth="1"/>
    <col min="36" max="36" width="8.90625" customWidth="1"/>
  </cols>
  <sheetData>
    <row r="1" spans="1:38" x14ac:dyDescent="0.35">
      <c r="A1" t="s">
        <v>86</v>
      </c>
      <c r="B1" t="s">
        <v>3</v>
      </c>
      <c r="C1" s="111" t="s">
        <v>59</v>
      </c>
      <c r="D1" t="s">
        <v>6</v>
      </c>
      <c r="E1" t="s">
        <v>13</v>
      </c>
      <c r="F1" t="s">
        <v>17</v>
      </c>
      <c r="G1" t="s">
        <v>60</v>
      </c>
      <c r="H1" t="s">
        <v>61</v>
      </c>
      <c r="I1" s="6">
        <v>1</v>
      </c>
      <c r="J1" s="6">
        <v>2</v>
      </c>
      <c r="K1" s="6">
        <v>3</v>
      </c>
      <c r="L1" s="6">
        <v>4</v>
      </c>
      <c r="M1" s="6">
        <v>5</v>
      </c>
      <c r="N1" s="6">
        <v>6</v>
      </c>
      <c r="O1" s="6">
        <v>7</v>
      </c>
      <c r="P1" s="6">
        <v>8</v>
      </c>
      <c r="Q1" s="5"/>
      <c r="R1" s="1" t="s">
        <v>2</v>
      </c>
      <c r="S1" s="1" t="s">
        <v>1</v>
      </c>
      <c r="T1" s="1" t="s">
        <v>10</v>
      </c>
      <c r="U1" s="1" t="s">
        <v>11</v>
      </c>
      <c r="V1" s="1" t="s">
        <v>19</v>
      </c>
      <c r="W1" s="1" t="s">
        <v>2</v>
      </c>
      <c r="X1" s="1" t="s">
        <v>1</v>
      </c>
      <c r="Y1" t="s">
        <v>4</v>
      </c>
      <c r="Z1" t="s">
        <v>5</v>
      </c>
      <c r="AA1" s="111" t="s">
        <v>58</v>
      </c>
      <c r="AB1" t="s">
        <v>63</v>
      </c>
      <c r="AC1" t="s">
        <v>64</v>
      </c>
      <c r="AD1" t="s">
        <v>65</v>
      </c>
      <c r="AE1" t="s">
        <v>66</v>
      </c>
      <c r="AF1" t="s">
        <v>79</v>
      </c>
      <c r="AG1" t="s">
        <v>77</v>
      </c>
      <c r="AH1" t="s">
        <v>78</v>
      </c>
      <c r="AI1" t="s">
        <v>80</v>
      </c>
      <c r="AJ1" t="s">
        <v>81</v>
      </c>
      <c r="AK1" t="s">
        <v>82</v>
      </c>
      <c r="AL1" t="s">
        <v>83</v>
      </c>
    </row>
    <row r="2" spans="1:38" x14ac:dyDescent="0.35">
      <c r="A2">
        <v>1</v>
      </c>
      <c r="B2">
        <f t="shared" ref="B2:B33" si="0">IF(H2="ZZZZZZ Suspend","",RANK(C2,C:C))</f>
        <v>11</v>
      </c>
      <c r="C2" s="111">
        <f>IF(H2="ZZZZZZ Suspend","",R2+(S2/100000)+(G2/1000000000))</f>
        <v>14.004690093000001</v>
      </c>
      <c r="D2">
        <f t="shared" ref="D2:D33" si="1">IF(H2="ZZZZZZ Suspend","",RANK(AA2,AA:AA))</f>
        <v>6</v>
      </c>
      <c r="E2" s="3" t="str">
        <f>IF(H2="ZZZZZZ Suspend","",IF(D2&lt;B2,AD$3,IF(D2&gt;B2,AD$4,AD$5)))</f>
        <v>p</v>
      </c>
      <c r="F2">
        <f t="shared" ref="F2" si="2">IF(H2="ZZZZZZ Suspend","",IF(D2&gt;B2,D2-B2,IF(D2&lt;B2,B2-D2,"")))</f>
        <v>5</v>
      </c>
      <c r="G2">
        <v>93</v>
      </c>
      <c r="H2" t="str">
        <f>Data!A3</f>
        <v>9986</v>
      </c>
      <c r="I2" s="2" t="str">
        <f>Data!C3</f>
        <v>Bulldogs</v>
      </c>
      <c r="J2" s="2" t="str">
        <f>Data!D3</f>
        <v>Panthers</v>
      </c>
      <c r="K2" s="2" t="str">
        <f>Data!E3</f>
        <v>Storm</v>
      </c>
      <c r="L2" s="2" t="str">
        <f>IF(Data!$S$3&lt;Engine!L$1,0,Data!F3)</f>
        <v>Warriors</v>
      </c>
      <c r="M2" s="2" t="str">
        <f>IF(Data!$S$3&lt;Engine!M$1,0,Data!G3)</f>
        <v>Sharks</v>
      </c>
      <c r="N2" s="2" t="str">
        <f>IF(Data!$S$3&lt;Engine!N$1,0,Data!H3)</f>
        <v>Rabbitohs</v>
      </c>
      <c r="O2" s="2" t="str">
        <f>IF(Data!$S$3&lt;Engine!O$1,0,Data!I3)</f>
        <v>Eels</v>
      </c>
      <c r="P2" s="2" t="str">
        <f>IF(Data!$S$3&lt;Engine!P$1,0,Data!J3)</f>
        <v>Cowboys</v>
      </c>
      <c r="Q2" s="11" t="str">
        <f>IF(Data!B3=1,Data!K3,"No Tips")</f>
        <v>Sharks</v>
      </c>
      <c r="R2" s="2">
        <f>Data!L3</f>
        <v>14</v>
      </c>
      <c r="S2" s="2">
        <f>Data!M3</f>
        <v>469</v>
      </c>
      <c r="T2" s="1">
        <f>IF(I2="","",COUNTIF('Live Ladder'!P:P,I2)+COUNTIF('Live Ladder'!P:P,J2)+COUNTIF('Live Ladder'!P:P,K2)+COUNTIF('Live Ladder'!P:P,L2)+COUNTIF('Live Ladder'!P:P,M2)+COUNTIF('Live Ladder'!P:P,N2)+COUNTIF('Live Ladder'!P:P,O2)+COUNTIF('Live Ladder'!P:P,P2))</f>
        <v>2</v>
      </c>
      <c r="U2" s="1">
        <f>IF(I2="","",IF(COUNTIF('Live Ladder'!P:P,Engine!Q2)=1,2,IF(COUNTIF('Live Ladder'!Q:Q,Engine!Q2)=1,-2,0)))</f>
        <v>0</v>
      </c>
      <c r="V2" s="1">
        <f>IF(I2="","",IF(T2=Data!S$3,2,0))</f>
        <v>0</v>
      </c>
      <c r="W2" s="1">
        <f t="shared" ref="W2" si="3">IF(I2="",AD$2,SUM(T2:V2))</f>
        <v>2</v>
      </c>
      <c r="X2" s="1">
        <f>IF(I2="",AE$2,IF(I2='Live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68</v>
      </c>
      <c r="Y2">
        <f t="shared" ref="Y2:Y15" si="4">IF(H2="ZZZZZZ Suspend","",R2+W2)</f>
        <v>16</v>
      </c>
      <c r="Z2">
        <f t="shared" ref="Z2" si="5">IF(H2="ZZZZZZ Suspend","",S2+X2)</f>
        <v>537</v>
      </c>
      <c r="AA2" s="111">
        <f>IF(H2="ZZZZZZ Suspend","",Y2+(Z2/100000)+(G2/1000000000))</f>
        <v>16.005370093</v>
      </c>
      <c r="AB2">
        <f t="shared" ref="AB2:AB65" si="6">IF(Q2="No Tips","",SUM(T2:V2))</f>
        <v>2</v>
      </c>
      <c r="AC2">
        <f>IF(I2="","",IF(I2='Live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68</v>
      </c>
      <c r="AD2">
        <f>MIN(AB:AB)</f>
        <v>-2</v>
      </c>
      <c r="AE2">
        <f>MIN(AC:AC)</f>
        <v>28</v>
      </c>
      <c r="AF2">
        <f>IF(I2="","",IF(Q2="",0,IF(AND(Q2&gt;0,COUNTIF('Stats Calculator'!$T$24:$AA$24,Q2)=1),HLOOKUP(Q2,'Stats Calculator'!$T$24:$AA$27,4,FALSE),IF(AND(Q2&gt;0,COUNTIF('Stats Calculator'!$T$25:$AA$25,Q2)=1),HLOOKUP(Q2,'Stats Calculator'!$T$25:$AA$27,3,FALSE)))))</f>
        <v>5</v>
      </c>
      <c r="AG2">
        <f>IF(I2="","",COUNTIF(I2,'Stats Calculator'!E$31)+COUNTIF(J2,'Stats Calculator'!E$32)+COUNTIF(K2,'Stats Calculator'!E$33)+COUNTIF(L2,'Stats Calculator'!E$34)+COUNTIF(M2,'Stats Calculator'!E$35)+COUNTIF(N2,'Stats Calculator'!E$36)+COUNTIF(O2,'Stats Calculator'!E$37)+COUNTIF(P2,'Stats Calculator'!E$38)-8+Data!S$3)</f>
        <v>2</v>
      </c>
      <c r="AH2">
        <f>IF(I2="","",IF(Q2="",0,IF(Q2=0,0,IF(VLOOKUP(Engine!AF2,'Stats Calculator'!B$31:E$38,4,FALSE)="",0,IF(VLOOKUP(Engine!AF2,'Stats Calculator'!B$31:E$38,4,FALSE)=Q2,2,-2)))))</f>
        <v>0</v>
      </c>
      <c r="AI2">
        <f>IF(I2="","",Data!S$3-COUNTA('Stats Calculator'!E$31:E$38))</f>
        <v>5</v>
      </c>
      <c r="AJ2">
        <f>IF(I2="","",IF(AF2=0,0,IF(VLOOKUP(AF2,'Stats Calculator'!B$31:E$38,4,FALSE)&gt;0,0,2)))</f>
        <v>2</v>
      </c>
      <c r="AK2">
        <f>IF(I2="","",IF(Data!S$3-Engine!AI2=AG2,2,0))</f>
        <v>0</v>
      </c>
      <c r="AL2">
        <f t="shared" ref="AL2" si="7">IF(I2="","",SUM(AG2:AK2))</f>
        <v>9</v>
      </c>
    </row>
    <row r="3" spans="1:38" x14ac:dyDescent="0.35">
      <c r="A3">
        <v>2</v>
      </c>
      <c r="B3">
        <f t="shared" si="0"/>
        <v>25</v>
      </c>
      <c r="C3" s="111">
        <f t="shared" ref="C3:C66" si="8">IF(H3="ZZZZZZ Suspend","",R3+(S3/100000)+(G3/1000000000))</f>
        <v>12.004600092</v>
      </c>
      <c r="D3">
        <f t="shared" si="1"/>
        <v>34</v>
      </c>
      <c r="E3" s="3" t="str">
        <f t="shared" ref="E3:E66" si="9">IF(H3="ZZZZZZ Suspend","",IF(D3&lt;B3,AD$3,IF(D3&gt;B3,AD$4,AD$5)))</f>
        <v>q</v>
      </c>
      <c r="F3">
        <f t="shared" ref="F3:F66" si="10">IF(H3="ZZZZZZ Suspend","",IF(D3&gt;B3,D3-B3,IF(D3&lt;B3,B3-D3,"")))</f>
        <v>9</v>
      </c>
      <c r="G3">
        <v>92</v>
      </c>
      <c r="H3" t="str">
        <f>Data!A4</f>
        <v>Adel Messih</v>
      </c>
      <c r="I3" s="2" t="str">
        <f>Data!C4</f>
        <v>Raiders</v>
      </c>
      <c r="J3" s="2" t="str">
        <f>Data!D4</f>
        <v>Panthers</v>
      </c>
      <c r="K3" s="2" t="str">
        <f>Data!E4</f>
        <v>Storm</v>
      </c>
      <c r="L3" s="2" t="str">
        <f>IF(Data!$S$3&lt;Engine!L$1,0,Data!F4)</f>
        <v>Warriors</v>
      </c>
      <c r="M3" s="2" t="str">
        <f>IF(Data!$S$3&lt;Engine!M$1,0,Data!G4)</f>
        <v>Dolphins</v>
      </c>
      <c r="N3" s="2" t="str">
        <f>IF(Data!$S$3&lt;Engine!N$1,0,Data!H4)</f>
        <v>Wests Tigers</v>
      </c>
      <c r="O3" s="2" t="str">
        <f>IF(Data!$S$3&lt;Engine!O$1,0,Data!I4)</f>
        <v>Dragons</v>
      </c>
      <c r="P3" s="2" t="str">
        <f>IF(Data!$S$3&lt;Engine!P$1,0,Data!J4)</f>
        <v>Titans</v>
      </c>
      <c r="Q3" s="11" t="str">
        <f>IF(Data!B4=1,Data!K4,"No Tips")</f>
        <v>Storm</v>
      </c>
      <c r="R3" s="2">
        <f>Data!L4</f>
        <v>12</v>
      </c>
      <c r="S3" s="2">
        <f>Data!M4</f>
        <v>460</v>
      </c>
      <c r="T3" s="1">
        <f>IF(I3="","",COUNTIF('Live Ladder'!P:P,I3)+COUNTIF('Live Ladder'!P:P,J3)+COUNTIF('Live Ladder'!P:P,K3)+COUNTIF('Live Ladder'!P:P,L3)+COUNTIF('Live Ladder'!P:P,M3)+COUNTIF('Live Ladder'!P:P,N3)+COUNTIF('Live Ladder'!P:P,O3)+COUNTIF('Live Ladder'!P:P,P3))</f>
        <v>1</v>
      </c>
      <c r="U3" s="1">
        <f>IF(I3="","",IF(COUNTIF('Live Ladder'!P:P,Engine!Q3)=1,2,IF(COUNTIF('Live Ladder'!Q:Q,Engine!Q3)=1,-2,0)))</f>
        <v>-2</v>
      </c>
      <c r="V3" s="1">
        <f>IF(I3="","",IF(T3=Data!S$3,2,0))</f>
        <v>0</v>
      </c>
      <c r="W3" s="1">
        <f t="shared" ref="W3:W66" si="11">IF(I3="",AD$2,SUM(T3:V3))</f>
        <v>-1</v>
      </c>
      <c r="X3" s="1">
        <f>IF(I3="",AE$2,IF(I3='Live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64</v>
      </c>
      <c r="Y3">
        <f t="shared" si="4"/>
        <v>11</v>
      </c>
      <c r="Z3">
        <f t="shared" ref="Z3:Z66" si="12">IF(H3="ZZZZZZ Suspend","",S3+X3)</f>
        <v>524</v>
      </c>
      <c r="AA3" s="111">
        <f t="shared" ref="AA3:AA66" si="13">IF(H3="ZZZZZZ Suspend","",Y3+(Z3/100000)+(G3/1000000000))</f>
        <v>11.005240092000001</v>
      </c>
      <c r="AB3">
        <f t="shared" si="6"/>
        <v>-1</v>
      </c>
      <c r="AC3">
        <f>IF(I3="","",IF(I3='Live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64</v>
      </c>
      <c r="AD3" s="3" t="s">
        <v>14</v>
      </c>
      <c r="AF3">
        <f>IF(I3="","",IF(Q3="",0,IF(AND(Q3&gt;0,COUNTIF('Stats Calculator'!$T$24:$AA$24,Q3)=1),HLOOKUP(Q3,'Stats Calculator'!$T$24:$AA$27,4,FALSE),IF(AND(Q3&gt;0,COUNTIF('Stats Calculator'!$T$25:$AA$25,Q3)=1),HLOOKUP(Q3,'Stats Calculator'!$T$25:$AA$27,3,FALSE)))))</f>
        <v>3</v>
      </c>
      <c r="AG3">
        <f>IF(I3="","",COUNTIF(I3,'Stats Calculator'!E$31)+COUNTIF(J3,'Stats Calculator'!E$32)+COUNTIF(K3,'Stats Calculator'!E$33)+COUNTIF(L3,'Stats Calculator'!E$34)+COUNTIF(M3,'Stats Calculator'!E$35)+COUNTIF(N3,'Stats Calculator'!E$36)+COUNTIF(O3,'Stats Calculator'!E$37)+COUNTIF(P3,'Stats Calculator'!E$38)-8+Data!S$3)</f>
        <v>1</v>
      </c>
      <c r="AH3">
        <f>IF(I3="","",IF(Q3="",0,IF(Q3=0,0,IF(VLOOKUP(Engine!AF3,'Stats Calculator'!B$31:E$38,4,FALSE)="",0,IF(VLOOKUP(Engine!AF3,'Stats Calculator'!B$31:E$38,4,FALSE)=Q3,2,-2)))))</f>
        <v>-2</v>
      </c>
      <c r="AI3">
        <f>IF(I3="","",Data!S$3-COUNTA('Stats Calculator'!E$31:E$38))</f>
        <v>5</v>
      </c>
      <c r="AJ3">
        <f>IF(I3="","",IF(AF3=0,0,IF(VLOOKUP(AF3,'Stats Calculator'!B$31:E$38,4,FALSE)&gt;0,0,2)))</f>
        <v>0</v>
      </c>
      <c r="AK3">
        <f>IF(I3="","",IF(Data!S$3-Engine!AI3=AG3,2,0))</f>
        <v>0</v>
      </c>
      <c r="AL3">
        <f t="shared" ref="AL3:AL66" si="14">IF(I3="","",SUM(AG3:AK3))</f>
        <v>4</v>
      </c>
    </row>
    <row r="4" spans="1:38" x14ac:dyDescent="0.35">
      <c r="A4">
        <v>3</v>
      </c>
      <c r="B4">
        <f t="shared" si="0"/>
        <v>26</v>
      </c>
      <c r="C4" s="111">
        <f t="shared" si="8"/>
        <v>12.004510091</v>
      </c>
      <c r="D4">
        <f t="shared" si="1"/>
        <v>11</v>
      </c>
      <c r="E4" s="3" t="str">
        <f t="shared" si="9"/>
        <v>p</v>
      </c>
      <c r="F4">
        <f t="shared" si="10"/>
        <v>15</v>
      </c>
      <c r="G4">
        <v>91</v>
      </c>
      <c r="H4" t="str">
        <f>Data!A5</f>
        <v>Bart Simpson</v>
      </c>
      <c r="I4" s="2" t="str">
        <f>Data!C5</f>
        <v>Raiders</v>
      </c>
      <c r="J4" s="2" t="str">
        <f>Data!D5</f>
        <v>Panthers</v>
      </c>
      <c r="K4" s="2" t="str">
        <f>Data!E5</f>
        <v>Storm</v>
      </c>
      <c r="L4" s="2" t="str">
        <f>IF(Data!$S$3&lt;Engine!L$1,0,Data!F5)</f>
        <v>Warriors</v>
      </c>
      <c r="M4" s="2" t="str">
        <f>IF(Data!$S$3&lt;Engine!M$1,0,Data!G5)</f>
        <v>Sharks</v>
      </c>
      <c r="N4" s="2" t="str">
        <f>IF(Data!$S$3&lt;Engine!N$1,0,Data!H5)</f>
        <v>Rabbitohs</v>
      </c>
      <c r="O4" s="2" t="str">
        <f>IF(Data!$S$3&lt;Engine!O$1,0,Data!I5)</f>
        <v>Eels</v>
      </c>
      <c r="P4" s="2" t="str">
        <f>IF(Data!$S$3&lt;Engine!P$1,0,Data!J5)</f>
        <v>Cowboys</v>
      </c>
      <c r="Q4" s="11" t="str">
        <f>IF(Data!B5=1,Data!K5,"No Tips")</f>
        <v>Panthers</v>
      </c>
      <c r="R4" s="2">
        <f>Data!L5</f>
        <v>12</v>
      </c>
      <c r="S4" s="2">
        <f>Data!M5</f>
        <v>451</v>
      </c>
      <c r="T4" s="1">
        <f>IF(I4="","",COUNTIF('Live Ladder'!P:P,I4)+COUNTIF('Live Ladder'!P:P,J4)+COUNTIF('Live Ladder'!P:P,K4)+COUNTIF('Live Ladder'!P:P,L4)+COUNTIF('Live Ladder'!P:P,M4)+COUNTIF('Live Ladder'!P:P,N4)+COUNTIF('Live Ladder'!P:P,O4)+COUNTIF('Live Ladder'!P:P,P4))</f>
        <v>1</v>
      </c>
      <c r="U4" s="1">
        <f>IF(I4="","",IF(COUNTIF('Live Ladder'!P:P,Engine!Q4)=1,2,IF(COUNTIF('Live Ladder'!Q:Q,Engine!Q4)=1,-2,0)))</f>
        <v>2</v>
      </c>
      <c r="V4" s="1">
        <f>IF(I4="","",IF(T4=Data!S$3,2,0))</f>
        <v>0</v>
      </c>
      <c r="W4" s="1">
        <f t="shared" si="11"/>
        <v>3</v>
      </c>
      <c r="X4" s="1">
        <f>IF(I4="",AE$2,IF(I4='Live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64</v>
      </c>
      <c r="Y4">
        <f t="shared" si="4"/>
        <v>15</v>
      </c>
      <c r="Z4">
        <f t="shared" si="12"/>
        <v>515</v>
      </c>
      <c r="AA4" s="111">
        <f t="shared" si="13"/>
        <v>15.005150091000001</v>
      </c>
      <c r="AB4">
        <f t="shared" si="6"/>
        <v>3</v>
      </c>
      <c r="AC4">
        <f>IF(I4="","",IF(I4='Live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64</v>
      </c>
      <c r="AD4" s="3" t="s">
        <v>15</v>
      </c>
      <c r="AF4">
        <f>IF(I4="","",IF(Q4="",0,IF(AND(Q4&gt;0,COUNTIF('Stats Calculator'!$T$24:$AA$24,Q4)=1),HLOOKUP(Q4,'Stats Calculator'!$T$24:$AA$27,4,FALSE),IF(AND(Q4&gt;0,COUNTIF('Stats Calculator'!$T$25:$AA$25,Q4)=1),HLOOKUP(Q4,'Stats Calculator'!$T$25:$AA$27,3,FALSE)))))</f>
        <v>2</v>
      </c>
      <c r="AG4">
        <f>IF(I4="","",COUNTIF(I4,'Stats Calculator'!E$31)+COUNTIF(J4,'Stats Calculator'!E$32)+COUNTIF(K4,'Stats Calculator'!E$33)+COUNTIF(L4,'Stats Calculator'!E$34)+COUNTIF(M4,'Stats Calculator'!E$35)+COUNTIF(N4,'Stats Calculator'!E$36)+COUNTIF(O4,'Stats Calculator'!E$37)+COUNTIF(P4,'Stats Calculator'!E$38)-8+Data!S$3)</f>
        <v>1</v>
      </c>
      <c r="AH4">
        <f>IF(I4="","",IF(Q4="",0,IF(Q4=0,0,IF(VLOOKUP(Engine!AF4,'Stats Calculator'!B$31:E$38,4,FALSE)="",0,IF(VLOOKUP(Engine!AF4,'Stats Calculator'!B$31:E$38,4,FALSE)=Q4,2,-2)))))</f>
        <v>2</v>
      </c>
      <c r="AI4">
        <f>IF(I4="","",Data!S$3-COUNTA('Stats Calculator'!E$31:E$38))</f>
        <v>5</v>
      </c>
      <c r="AJ4">
        <f>IF(I4="","",IF(AF4=0,0,IF(VLOOKUP(AF4,'Stats Calculator'!B$31:E$38,4,FALSE)&gt;0,0,2)))</f>
        <v>0</v>
      </c>
      <c r="AK4">
        <f>IF(I4="","",IF(Data!S$3-Engine!AI4=AG4,2,0))</f>
        <v>0</v>
      </c>
      <c r="AL4">
        <f t="shared" si="14"/>
        <v>8</v>
      </c>
    </row>
    <row r="5" spans="1:38" x14ac:dyDescent="0.35">
      <c r="A5">
        <v>4</v>
      </c>
      <c r="B5">
        <f t="shared" si="0"/>
        <v>34</v>
      </c>
      <c r="C5" s="111">
        <f t="shared" si="8"/>
        <v>10.00462009</v>
      </c>
      <c r="D5">
        <f t="shared" si="1"/>
        <v>30</v>
      </c>
      <c r="E5" s="3" t="str">
        <f t="shared" si="9"/>
        <v>p</v>
      </c>
      <c r="F5">
        <f t="shared" si="10"/>
        <v>4</v>
      </c>
      <c r="G5">
        <v>90</v>
      </c>
      <c r="H5" t="str">
        <f>Data!A6</f>
        <v>Big Moose</v>
      </c>
      <c r="I5" s="2" t="str">
        <f>Data!C6</f>
        <v>Bulldogs</v>
      </c>
      <c r="J5" s="2" t="str">
        <f>Data!D6</f>
        <v>Panthers</v>
      </c>
      <c r="K5" s="2" t="str">
        <f>Data!E6</f>
        <v>Storm</v>
      </c>
      <c r="L5" s="2" t="str">
        <f>IF(Data!$S$3&lt;Engine!L$1,0,Data!F6)</f>
        <v>Warriors</v>
      </c>
      <c r="M5" s="2" t="str">
        <f>IF(Data!$S$3&lt;Engine!M$1,0,Data!G6)</f>
        <v>Sharks</v>
      </c>
      <c r="N5" s="2" t="str">
        <f>IF(Data!$S$3&lt;Engine!N$1,0,Data!H6)</f>
        <v>Rabbitohs</v>
      </c>
      <c r="O5" s="2" t="str">
        <f>IF(Data!$S$3&lt;Engine!O$1,0,Data!I6)</f>
        <v>Eels</v>
      </c>
      <c r="P5" s="2" t="str">
        <f>IF(Data!$S$3&lt;Engine!P$1,0,Data!J6)</f>
        <v>Cowboys</v>
      </c>
      <c r="Q5" s="11" t="str">
        <f>IF(Data!B6=1,Data!K6,"No Tips")</f>
        <v>Warriors</v>
      </c>
      <c r="R5" s="2">
        <f>Data!L6</f>
        <v>10</v>
      </c>
      <c r="S5" s="2">
        <f>Data!M6</f>
        <v>462</v>
      </c>
      <c r="T5" s="1">
        <f>IF(I5="","",COUNTIF('Live Ladder'!P:P,I5)+COUNTIF('Live Ladder'!P:P,J5)+COUNTIF('Live Ladder'!P:P,K5)+COUNTIF('Live Ladder'!P:P,L5)+COUNTIF('Live Ladder'!P:P,M5)+COUNTIF('Live Ladder'!P:P,N5)+COUNTIF('Live Ladder'!P:P,O5)+COUNTIF('Live Ladder'!P:P,P5))</f>
        <v>2</v>
      </c>
      <c r="U5" s="1">
        <f>IF(I5="","",IF(COUNTIF('Live Ladder'!P:P,Engine!Q5)=1,2,IF(COUNTIF('Live Ladder'!Q:Q,Engine!Q5)=1,-2,0)))</f>
        <v>0</v>
      </c>
      <c r="V5" s="1">
        <f>IF(I5="","",IF(T5=Data!S$3,2,0))</f>
        <v>0</v>
      </c>
      <c r="W5" s="1">
        <f t="shared" si="11"/>
        <v>2</v>
      </c>
      <c r="X5" s="1">
        <f>IF(I5="",AE$2,IF(I5='Live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68</v>
      </c>
      <c r="Y5">
        <f t="shared" si="4"/>
        <v>12</v>
      </c>
      <c r="Z5">
        <f t="shared" si="12"/>
        <v>530</v>
      </c>
      <c r="AA5" s="111">
        <f t="shared" si="13"/>
        <v>12.00530009</v>
      </c>
      <c r="AB5">
        <f t="shared" si="6"/>
        <v>2</v>
      </c>
      <c r="AC5">
        <f>IF(I5="","",IF(I5='Live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68</v>
      </c>
      <c r="AD5" s="3" t="s">
        <v>16</v>
      </c>
      <c r="AF5">
        <f>IF(I5="","",IF(Q5="",0,IF(AND(Q5&gt;0,COUNTIF('Stats Calculator'!$T$24:$AA$24,Q5)=1),HLOOKUP(Q5,'Stats Calculator'!$T$24:$AA$27,4,FALSE),IF(AND(Q5&gt;0,COUNTIF('Stats Calculator'!$T$25:$AA$25,Q5)=1),HLOOKUP(Q5,'Stats Calculator'!$T$25:$AA$27,3,FALSE)))))</f>
        <v>4</v>
      </c>
      <c r="AG5">
        <f>IF(I5="","",COUNTIF(I5,'Stats Calculator'!E$31)+COUNTIF(J5,'Stats Calculator'!E$32)+COUNTIF(K5,'Stats Calculator'!E$33)+COUNTIF(L5,'Stats Calculator'!E$34)+COUNTIF(M5,'Stats Calculator'!E$35)+COUNTIF(N5,'Stats Calculator'!E$36)+COUNTIF(O5,'Stats Calculator'!E$37)+COUNTIF(P5,'Stats Calculator'!E$38)-8+Data!S$3)</f>
        <v>2</v>
      </c>
      <c r="AH5">
        <f>IF(I5="","",IF(Q5="",0,IF(Q5=0,0,IF(VLOOKUP(Engine!AF5,'Stats Calculator'!B$31:E$38,4,FALSE)="",0,IF(VLOOKUP(Engine!AF5,'Stats Calculator'!B$31:E$38,4,FALSE)=Q5,2,-2)))))</f>
        <v>0</v>
      </c>
      <c r="AI5">
        <f>IF(I5="","",Data!S$3-COUNTA('Stats Calculator'!E$31:E$38))</f>
        <v>5</v>
      </c>
      <c r="AJ5">
        <f>IF(I5="","",IF(AF5=0,0,IF(VLOOKUP(AF5,'Stats Calculator'!B$31:E$38,4,FALSE)&gt;0,0,2)))</f>
        <v>2</v>
      </c>
      <c r="AK5">
        <f>IF(I5="","",IF(Data!S$3-Engine!AI5=AG5,2,0))</f>
        <v>0</v>
      </c>
      <c r="AL5">
        <f t="shared" si="14"/>
        <v>9</v>
      </c>
    </row>
    <row r="6" spans="1:38" x14ac:dyDescent="0.35">
      <c r="A6">
        <v>5</v>
      </c>
      <c r="B6">
        <f t="shared" si="0"/>
        <v>46</v>
      </c>
      <c r="C6" s="111">
        <f t="shared" si="8"/>
        <v>7.0043100890000005</v>
      </c>
      <c r="D6">
        <f t="shared" si="1"/>
        <v>44</v>
      </c>
      <c r="E6" s="3" t="str">
        <f t="shared" si="9"/>
        <v>p</v>
      </c>
      <c r="F6">
        <f t="shared" si="10"/>
        <v>2</v>
      </c>
      <c r="G6">
        <v>89</v>
      </c>
      <c r="H6" t="str">
        <f>Data!A7</f>
        <v>BillyB</v>
      </c>
      <c r="I6" s="2" t="str">
        <f>Data!C7</f>
        <v>Bulldogs</v>
      </c>
      <c r="J6" s="2" t="str">
        <f>Data!D7</f>
        <v>Panthers</v>
      </c>
      <c r="K6" s="2" t="str">
        <f>Data!E7</f>
        <v>Storm</v>
      </c>
      <c r="L6" s="2" t="str">
        <f>IF(Data!$S$3&lt;Engine!L$1,0,Data!F7)</f>
        <v>Warriors</v>
      </c>
      <c r="M6" s="2" t="str">
        <f>IF(Data!$S$3&lt;Engine!M$1,0,Data!G7)</f>
        <v>Sharks</v>
      </c>
      <c r="N6" s="2" t="str">
        <f>IF(Data!$S$3&lt;Engine!N$1,0,Data!H7)</f>
        <v>Wests Tigers</v>
      </c>
      <c r="O6" s="2" t="str">
        <f>IF(Data!$S$3&lt;Engine!O$1,0,Data!I7)</f>
        <v>Eels</v>
      </c>
      <c r="P6" s="2" t="str">
        <f>IF(Data!$S$3&lt;Engine!P$1,0,Data!J7)</f>
        <v>Cowboys</v>
      </c>
      <c r="Q6" s="11" t="str">
        <f>IF(Data!B7=1,Data!K7,"No Tips")</f>
        <v>Wests Tigers</v>
      </c>
      <c r="R6" s="2">
        <f>Data!L7</f>
        <v>7</v>
      </c>
      <c r="S6" s="2">
        <f>Data!M7</f>
        <v>431</v>
      </c>
      <c r="T6" s="1">
        <f>IF(I6="","",COUNTIF('Live Ladder'!P:P,I6)+COUNTIF('Live Ladder'!P:P,J6)+COUNTIF('Live Ladder'!P:P,K6)+COUNTIF('Live Ladder'!P:P,L6)+COUNTIF('Live Ladder'!P:P,M6)+COUNTIF('Live Ladder'!P:P,N6)+COUNTIF('Live Ladder'!P:P,O6)+COUNTIF('Live Ladder'!P:P,P6))</f>
        <v>2</v>
      </c>
      <c r="U6" s="1">
        <f>IF(I6="","",IF(COUNTIF('Live Ladder'!P:P,Engine!Q6)=1,2,IF(COUNTIF('Live Ladder'!Q:Q,Engine!Q6)=1,-2,0)))</f>
        <v>0</v>
      </c>
      <c r="V6" s="1">
        <f>IF(I6="","",IF(T6=Data!S$3,2,0))</f>
        <v>0</v>
      </c>
      <c r="W6" s="1">
        <f t="shared" si="11"/>
        <v>2</v>
      </c>
      <c r="X6" s="1">
        <f>IF(I6="",AE$2,IF(I6='Live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68</v>
      </c>
      <c r="Y6">
        <f t="shared" si="4"/>
        <v>9</v>
      </c>
      <c r="Z6">
        <f t="shared" si="12"/>
        <v>499</v>
      </c>
      <c r="AA6" s="111">
        <f t="shared" si="13"/>
        <v>9.0049900889999996</v>
      </c>
      <c r="AB6">
        <f t="shared" si="6"/>
        <v>2</v>
      </c>
      <c r="AC6">
        <f>IF(I6="","",IF(I6='Live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68</v>
      </c>
      <c r="AF6">
        <f>IF(I6="","",IF(Q6="",0,IF(AND(Q6&gt;0,COUNTIF('Stats Calculator'!$T$24:$AA$24,Q6)=1),HLOOKUP(Q6,'Stats Calculator'!$T$24:$AA$27,4,FALSE),IF(AND(Q6&gt;0,COUNTIF('Stats Calculator'!$T$25:$AA$25,Q6)=1),HLOOKUP(Q6,'Stats Calculator'!$T$25:$AA$27,3,FALSE)))))</f>
        <v>6</v>
      </c>
      <c r="AG6">
        <f>IF(I6="","",COUNTIF(I6,'Stats Calculator'!E$31)+COUNTIF(J6,'Stats Calculator'!E$32)+COUNTIF(K6,'Stats Calculator'!E$33)+COUNTIF(L6,'Stats Calculator'!E$34)+COUNTIF(M6,'Stats Calculator'!E$35)+COUNTIF(N6,'Stats Calculator'!E$36)+COUNTIF(O6,'Stats Calculator'!E$37)+COUNTIF(P6,'Stats Calculator'!E$38)-8+Data!S$3)</f>
        <v>2</v>
      </c>
      <c r="AH6">
        <f>IF(I6="","",IF(Q6="",0,IF(Q6=0,0,IF(VLOOKUP(Engine!AF6,'Stats Calculator'!B$31:E$38,4,FALSE)="",0,IF(VLOOKUP(Engine!AF6,'Stats Calculator'!B$31:E$38,4,FALSE)=Q6,2,-2)))))</f>
        <v>0</v>
      </c>
      <c r="AI6">
        <f>IF(I6="","",Data!S$3-COUNTA('Stats Calculator'!E$31:E$38))</f>
        <v>5</v>
      </c>
      <c r="AJ6">
        <f>IF(I6="","",IF(AF6=0,0,IF(VLOOKUP(AF6,'Stats Calculator'!B$31:E$38,4,FALSE)&gt;0,0,2)))</f>
        <v>2</v>
      </c>
      <c r="AK6">
        <f>IF(I6="","",IF(Data!S$3-Engine!AI6=AG6,2,0))</f>
        <v>0</v>
      </c>
      <c r="AL6">
        <f t="shared" si="14"/>
        <v>9</v>
      </c>
    </row>
    <row r="7" spans="1:38" x14ac:dyDescent="0.35">
      <c r="A7">
        <v>6</v>
      </c>
      <c r="B7">
        <f t="shared" si="0"/>
        <v>39</v>
      </c>
      <c r="C7" s="111">
        <f t="shared" si="8"/>
        <v>10.004410088</v>
      </c>
      <c r="D7">
        <f t="shared" si="1"/>
        <v>39</v>
      </c>
      <c r="E7" s="3" t="str">
        <f t="shared" si="9"/>
        <v>u</v>
      </c>
      <c r="F7" t="str">
        <f t="shared" si="10"/>
        <v/>
      </c>
      <c r="G7">
        <v>88</v>
      </c>
      <c r="H7" t="str">
        <f>Data!A8</f>
        <v>blakey94</v>
      </c>
      <c r="I7" s="2" t="str">
        <f>Data!C8</f>
        <v>Raiders</v>
      </c>
      <c r="J7" s="2" t="str">
        <f>Data!D8</f>
        <v>Roosters</v>
      </c>
      <c r="K7" s="2" t="str">
        <f>Data!E8</f>
        <v>Storm</v>
      </c>
      <c r="L7" s="2" t="str">
        <f>IF(Data!$S$3&lt;Engine!L$1,0,Data!F8)</f>
        <v>Warriors</v>
      </c>
      <c r="M7" s="2" t="str">
        <f>IF(Data!$S$3&lt;Engine!M$1,0,Data!G8)</f>
        <v>Sharks</v>
      </c>
      <c r="N7" s="2" t="str">
        <f>IF(Data!$S$3&lt;Engine!N$1,0,Data!H8)</f>
        <v>Wests Tigers</v>
      </c>
      <c r="O7" s="2" t="str">
        <f>IF(Data!$S$3&lt;Engine!O$1,0,Data!I8)</f>
        <v>Eels</v>
      </c>
      <c r="P7" s="2" t="str">
        <f>IF(Data!$S$3&lt;Engine!P$1,0,Data!J8)</f>
        <v>Titans</v>
      </c>
      <c r="Q7" s="11" t="str">
        <f>IF(Data!B8=1,Data!K8,"No Tips")</f>
        <v>Eels</v>
      </c>
      <c r="R7" s="2">
        <f>Data!L8</f>
        <v>10</v>
      </c>
      <c r="S7" s="2">
        <f>Data!M8</f>
        <v>441</v>
      </c>
      <c r="T7" s="1">
        <f>IF(I7="","",COUNTIF('Live Ladder'!P:P,I7)+COUNTIF('Live Ladder'!P:P,J7)+COUNTIF('Live Ladder'!P:P,K7)+COUNTIF('Live Ladder'!P:P,L7)+COUNTIF('Live Ladder'!P:P,M7)+COUNTIF('Live Ladder'!P:P,N7)+COUNTIF('Live Ladder'!P:P,O7)+COUNTIF('Live Ladder'!P:P,P7))</f>
        <v>0</v>
      </c>
      <c r="U7" s="1">
        <f>IF(I7="","",IF(COUNTIF('Live Ladder'!P:P,Engine!Q7)=1,2,IF(COUNTIF('Live Ladder'!Q:Q,Engine!Q7)=1,-2,0)))</f>
        <v>0</v>
      </c>
      <c r="V7" s="1">
        <f>IF(I7="","",IF(T7=Data!S$3,2,0))</f>
        <v>0</v>
      </c>
      <c r="W7" s="1">
        <f t="shared" si="11"/>
        <v>0</v>
      </c>
      <c r="X7" s="1">
        <f>IF(I7="",AE$2,IF(I7='Live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28</v>
      </c>
      <c r="Y7">
        <f t="shared" si="4"/>
        <v>10</v>
      </c>
      <c r="Z7">
        <f t="shared" si="12"/>
        <v>469</v>
      </c>
      <c r="AA7" s="111">
        <f t="shared" si="13"/>
        <v>10.004690088</v>
      </c>
      <c r="AB7">
        <f t="shared" si="6"/>
        <v>0</v>
      </c>
      <c r="AC7">
        <f>IF(I7="","",IF(I7='Live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28</v>
      </c>
      <c r="AF7">
        <f>IF(I7="","",IF(Q7="",0,IF(AND(Q7&gt;0,COUNTIF('Stats Calculator'!$T$24:$AA$24,Q7)=1),HLOOKUP(Q7,'Stats Calculator'!$T$24:$AA$27,4,FALSE),IF(AND(Q7&gt;0,COUNTIF('Stats Calculator'!$T$25:$AA$25,Q7)=1),HLOOKUP(Q7,'Stats Calculator'!$T$25:$AA$27,3,FALSE)))))</f>
        <v>7</v>
      </c>
      <c r="AG7">
        <f>IF(I7="","",COUNTIF(I7,'Stats Calculator'!E$31)+COUNTIF(J7,'Stats Calculator'!E$32)+COUNTIF(K7,'Stats Calculator'!E$33)+COUNTIF(L7,'Stats Calculator'!E$34)+COUNTIF(M7,'Stats Calculator'!E$35)+COUNTIF(N7,'Stats Calculator'!E$36)+COUNTIF(O7,'Stats Calculator'!E$37)+COUNTIF(P7,'Stats Calculator'!E$38)-8+Data!S$3)</f>
        <v>0</v>
      </c>
      <c r="AH7">
        <f>IF(I7="","",IF(Q7="",0,IF(Q7=0,0,IF(VLOOKUP(Engine!AF7,'Stats Calculator'!B$31:E$38,4,FALSE)="",0,IF(VLOOKUP(Engine!AF7,'Stats Calculator'!B$31:E$38,4,FALSE)=Q7,2,-2)))))</f>
        <v>0</v>
      </c>
      <c r="AI7">
        <f>IF(I7="","",Data!S$3-COUNTA('Stats Calculator'!E$31:E$38))</f>
        <v>5</v>
      </c>
      <c r="AJ7">
        <f>IF(I7="","",IF(AF7=0,0,IF(VLOOKUP(AF7,'Stats Calculator'!B$31:E$38,4,FALSE)&gt;0,0,2)))</f>
        <v>2</v>
      </c>
      <c r="AK7">
        <f>IF(I7="","",IF(Data!S$3-Engine!AI7=AG7,2,0))</f>
        <v>0</v>
      </c>
      <c r="AL7">
        <f t="shared" si="14"/>
        <v>7</v>
      </c>
    </row>
    <row r="8" spans="1:38" s="108" customFormat="1" x14ac:dyDescent="0.35">
      <c r="A8" s="108">
        <v>7</v>
      </c>
      <c r="B8" s="108">
        <f t="shared" si="0"/>
        <v>1</v>
      </c>
      <c r="C8" s="111">
        <f t="shared" si="8"/>
        <v>16.005150087000001</v>
      </c>
      <c r="D8" s="108">
        <f t="shared" si="1"/>
        <v>5</v>
      </c>
      <c r="E8" s="109" t="str">
        <f t="shared" si="9"/>
        <v>q</v>
      </c>
      <c r="F8" s="108">
        <f t="shared" si="10"/>
        <v>4</v>
      </c>
      <c r="G8">
        <v>87</v>
      </c>
      <c r="H8" t="str">
        <f>Data!A9</f>
        <v>Bridie</v>
      </c>
      <c r="I8" s="2" t="str">
        <f>Data!C9</f>
        <v>Bulldogs</v>
      </c>
      <c r="J8" s="2" t="str">
        <f>Data!D9</f>
        <v>Panthers</v>
      </c>
      <c r="K8" s="2" t="str">
        <f>Data!E9</f>
        <v>Storm</v>
      </c>
      <c r="L8" s="2" t="str">
        <f>IF(Data!$S$3&lt;Engine!L$1,0,Data!F9)</f>
        <v>Warriors</v>
      </c>
      <c r="M8" s="2" t="str">
        <f>IF(Data!$S$3&lt;Engine!M$1,0,Data!G9)</f>
        <v>Sharks</v>
      </c>
      <c r="N8" s="2" t="str">
        <f>IF(Data!$S$3&lt;Engine!N$1,0,Data!H9)</f>
        <v>Wests Tigers</v>
      </c>
      <c r="O8" s="2" t="str">
        <f>IF(Data!$S$3&lt;Engine!O$1,0,Data!I9)</f>
        <v>Eels</v>
      </c>
      <c r="P8" s="2" t="str">
        <f>IF(Data!$S$3&lt;Engine!P$1,0,Data!J9)</f>
        <v>Cowboys</v>
      </c>
      <c r="Q8" s="11" t="str">
        <f>IF(Data!B9=1,Data!K9,"No Tips")</f>
        <v>Storm</v>
      </c>
      <c r="R8" s="2">
        <f>Data!L9</f>
        <v>16</v>
      </c>
      <c r="S8" s="2">
        <f>Data!M9</f>
        <v>515</v>
      </c>
      <c r="T8" s="110">
        <f>IF(I8="","",COUNTIF('Live Ladder'!P:P,I8)+COUNTIF('Live Ladder'!P:P,J8)+COUNTIF('Live Ladder'!P:P,K8)+COUNTIF('Live Ladder'!P:P,L8)+COUNTIF('Live Ladder'!P:P,M8)+COUNTIF('Live Ladder'!P:P,N8)+COUNTIF('Live Ladder'!P:P,O8)+COUNTIF('Live Ladder'!P:P,P8))</f>
        <v>2</v>
      </c>
      <c r="U8" s="110">
        <f>IF(I8="","",IF(COUNTIF('Live Ladder'!P:P,Engine!Q8)=1,2,IF(COUNTIF('Live Ladder'!Q:Q,Engine!Q8)=1,-2,0)))</f>
        <v>-2</v>
      </c>
      <c r="V8" s="110">
        <f>IF(I8="","",IF(T8=Data!S$3,2,0))</f>
        <v>0</v>
      </c>
      <c r="W8" s="110">
        <f t="shared" si="11"/>
        <v>0</v>
      </c>
      <c r="X8" s="110">
        <f>IF(I8="",AE$2,IF(I8='Live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68</v>
      </c>
      <c r="Y8" s="108">
        <f t="shared" si="4"/>
        <v>16</v>
      </c>
      <c r="Z8" s="108">
        <f t="shared" si="12"/>
        <v>583</v>
      </c>
      <c r="AA8" s="111">
        <f t="shared" si="13"/>
        <v>16.005830087</v>
      </c>
      <c r="AB8">
        <f t="shared" si="6"/>
        <v>0</v>
      </c>
      <c r="AC8" s="108">
        <f>IF(I8="","",IF(I8='Live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68</v>
      </c>
      <c r="AF8" s="108">
        <f>IF(I8="","",IF(Q8="",0,IF(AND(Q8&gt;0,COUNTIF('Stats Calculator'!$T$24:$AA$24,Q8)=1),HLOOKUP(Q8,'Stats Calculator'!$T$24:$AA$27,4,FALSE),IF(AND(Q8&gt;0,COUNTIF('Stats Calculator'!$T$25:$AA$25,Q8)=1),HLOOKUP(Q8,'Stats Calculator'!$T$25:$AA$27,3,FALSE)))))</f>
        <v>3</v>
      </c>
      <c r="AG8" s="108">
        <f>IF(I8="","",COUNTIF(I8,'Stats Calculator'!E$31)+COUNTIF(J8,'Stats Calculator'!E$32)+COUNTIF(K8,'Stats Calculator'!E$33)+COUNTIF(L8,'Stats Calculator'!E$34)+COUNTIF(M8,'Stats Calculator'!E$35)+COUNTIF(N8,'Stats Calculator'!E$36)+COUNTIF(O8,'Stats Calculator'!E$37)+COUNTIF(P8,'Stats Calculator'!E$38)-8+Data!S$3)</f>
        <v>2</v>
      </c>
      <c r="AH8" s="108">
        <f>IF(I8="","",IF(Q8="",0,IF(Q8=0,0,IF(VLOOKUP(Engine!AF8,'Stats Calculator'!B$31:E$38,4,FALSE)="",0,IF(VLOOKUP(Engine!AF8,'Stats Calculator'!B$31:E$38,4,FALSE)=Q8,2,-2)))))</f>
        <v>-2</v>
      </c>
      <c r="AI8" s="108">
        <f>IF(I8="","",Data!S$3-COUNTA('Stats Calculator'!E$31:E$38))</f>
        <v>5</v>
      </c>
      <c r="AJ8" s="108">
        <f>IF(I8="","",IF(AF8=0,0,IF(VLOOKUP(AF8,'Stats Calculator'!B$31:E$38,4,FALSE)&gt;0,0,2)))</f>
        <v>0</v>
      </c>
      <c r="AK8" s="108">
        <f>IF(I8="","",IF(Data!S$3-Engine!AI8=AG8,2,0))</f>
        <v>0</v>
      </c>
      <c r="AL8" s="108">
        <f t="shared" si="14"/>
        <v>5</v>
      </c>
    </row>
    <row r="9" spans="1:38" x14ac:dyDescent="0.35">
      <c r="A9">
        <v>8</v>
      </c>
      <c r="B9">
        <f t="shared" si="0"/>
        <v>48</v>
      </c>
      <c r="C9" s="111">
        <f t="shared" si="8"/>
        <v>5.0045300859999999</v>
      </c>
      <c r="D9">
        <f t="shared" si="1"/>
        <v>47</v>
      </c>
      <c r="E9" s="3" t="str">
        <f t="shared" si="9"/>
        <v>p</v>
      </c>
      <c r="F9">
        <f t="shared" si="10"/>
        <v>1</v>
      </c>
      <c r="G9">
        <v>86</v>
      </c>
      <c r="H9" t="str">
        <f>Data!A10</f>
        <v>Carlos</v>
      </c>
      <c r="I9" s="2" t="str">
        <f>Data!C10</f>
        <v>Bulldogs</v>
      </c>
      <c r="J9" s="2" t="str">
        <f>Data!D10</f>
        <v>Panthers</v>
      </c>
      <c r="K9" s="2" t="str">
        <f>Data!E10</f>
        <v>Storm</v>
      </c>
      <c r="L9" s="2" t="str">
        <f>IF(Data!$S$3&lt;Engine!L$1,0,Data!F10)</f>
        <v>Warriors</v>
      </c>
      <c r="M9" s="2" t="str">
        <f>IF(Data!$S$3&lt;Engine!M$1,0,Data!G10)</f>
        <v>Sharks</v>
      </c>
      <c r="N9" s="2" t="str">
        <f>IF(Data!$S$3&lt;Engine!N$1,0,Data!H10)</f>
        <v>Rabbitohs</v>
      </c>
      <c r="O9" s="2" t="str">
        <f>IF(Data!$S$3&lt;Engine!O$1,0,Data!I10)</f>
        <v>Dragons</v>
      </c>
      <c r="P9" s="2" t="str">
        <f>IF(Data!$S$3&lt;Engine!P$1,0,Data!J10)</f>
        <v>Cowboys</v>
      </c>
      <c r="Q9" s="11" t="str">
        <f>IF(Data!B10=1,Data!K10,"No Tips")</f>
        <v>Sharks</v>
      </c>
      <c r="R9" s="2">
        <f>Data!L10</f>
        <v>5</v>
      </c>
      <c r="S9" s="2">
        <f>Data!M10</f>
        <v>453</v>
      </c>
      <c r="T9" s="1">
        <f>IF(I9="","",COUNTIF('Live Ladder'!P:P,I9)+COUNTIF('Live Ladder'!P:P,J9)+COUNTIF('Live Ladder'!P:P,K9)+COUNTIF('Live Ladder'!P:P,L9)+COUNTIF('Live Ladder'!P:P,M9)+COUNTIF('Live Ladder'!P:P,N9)+COUNTIF('Live Ladder'!P:P,O9)+COUNTIF('Live Ladder'!P:P,P9))</f>
        <v>2</v>
      </c>
      <c r="U9" s="1">
        <f>IF(I9="","",IF(COUNTIF('Live Ladder'!P:P,Engine!Q9)=1,2,IF(COUNTIF('Live Ladder'!Q:Q,Engine!Q9)=1,-2,0)))</f>
        <v>0</v>
      </c>
      <c r="V9" s="1">
        <f>IF(I9="","",IF(T9=Data!S$3,2,0))</f>
        <v>0</v>
      </c>
      <c r="W9" s="1">
        <f t="shared" si="11"/>
        <v>2</v>
      </c>
      <c r="X9" s="1">
        <f>IF(I9="",AE$2,IF(I9='Live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68</v>
      </c>
      <c r="Y9">
        <f t="shared" si="4"/>
        <v>7</v>
      </c>
      <c r="Z9">
        <f t="shared" si="12"/>
        <v>521</v>
      </c>
      <c r="AA9" s="111">
        <f t="shared" si="13"/>
        <v>7.0052100859999999</v>
      </c>
      <c r="AB9">
        <f t="shared" si="6"/>
        <v>2</v>
      </c>
      <c r="AC9">
        <f>IF(I9="","",IF(I9='Live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68</v>
      </c>
      <c r="AF9">
        <f>IF(I9="","",IF(Q9="",0,IF(AND(Q9&gt;0,COUNTIF('Stats Calculator'!$T$24:$AA$24,Q9)=1),HLOOKUP(Q9,'Stats Calculator'!$T$24:$AA$27,4,FALSE),IF(AND(Q9&gt;0,COUNTIF('Stats Calculator'!$T$25:$AA$25,Q9)=1),HLOOKUP(Q9,'Stats Calculator'!$T$25:$AA$27,3,FALSE)))))</f>
        <v>5</v>
      </c>
      <c r="AG9">
        <f>IF(I9="","",COUNTIF(I9,'Stats Calculator'!E$31)+COUNTIF(J9,'Stats Calculator'!E$32)+COUNTIF(K9,'Stats Calculator'!E$33)+COUNTIF(L9,'Stats Calculator'!E$34)+COUNTIF(M9,'Stats Calculator'!E$35)+COUNTIF(N9,'Stats Calculator'!E$36)+COUNTIF(O9,'Stats Calculator'!E$37)+COUNTIF(P9,'Stats Calculator'!E$38)-8+Data!S$3)</f>
        <v>2</v>
      </c>
      <c r="AH9">
        <f>IF(I9="","",IF(Q9="",0,IF(Q9=0,0,IF(VLOOKUP(Engine!AF9,'Stats Calculator'!B$31:E$38,4,FALSE)="",0,IF(VLOOKUP(Engine!AF9,'Stats Calculator'!B$31:E$38,4,FALSE)=Q9,2,-2)))))</f>
        <v>0</v>
      </c>
      <c r="AI9">
        <f>IF(I9="","",Data!S$3-COUNTA('Stats Calculator'!E$31:E$38))</f>
        <v>5</v>
      </c>
      <c r="AJ9">
        <f>IF(I9="","",IF(AF9=0,0,IF(VLOOKUP(AF9,'Stats Calculator'!B$31:E$38,4,FALSE)&gt;0,0,2)))</f>
        <v>2</v>
      </c>
      <c r="AK9">
        <f>IF(I9="","",IF(Data!S$3-Engine!AI9=AG9,2,0))</f>
        <v>0</v>
      </c>
      <c r="AL9">
        <f t="shared" si="14"/>
        <v>9</v>
      </c>
    </row>
    <row r="10" spans="1:38" x14ac:dyDescent="0.35">
      <c r="A10">
        <v>9</v>
      </c>
      <c r="B10">
        <f t="shared" si="0"/>
        <v>10</v>
      </c>
      <c r="C10" s="111">
        <f t="shared" si="8"/>
        <v>14.004870085</v>
      </c>
      <c r="D10">
        <f t="shared" si="1"/>
        <v>4</v>
      </c>
      <c r="E10" s="3" t="str">
        <f t="shared" si="9"/>
        <v>p</v>
      </c>
      <c r="F10">
        <f t="shared" si="10"/>
        <v>6</v>
      </c>
      <c r="G10">
        <v>85</v>
      </c>
      <c r="H10" t="str">
        <f>Data!A11</f>
        <v>Chunka</v>
      </c>
      <c r="I10" s="2" t="str">
        <f>Data!C11</f>
        <v>Raiders</v>
      </c>
      <c r="J10" s="2" t="str">
        <f>Data!D11</f>
        <v>Panthers</v>
      </c>
      <c r="K10" s="2" t="str">
        <f>Data!E11</f>
        <v>Storm</v>
      </c>
      <c r="L10" s="2" t="str">
        <f>IF(Data!$S$3&lt;Engine!L$1,0,Data!F11)</f>
        <v>Warriors</v>
      </c>
      <c r="M10" s="2" t="str">
        <f>IF(Data!$S$3&lt;Engine!M$1,0,Data!G11)</f>
        <v>Sharks</v>
      </c>
      <c r="N10" s="2" t="str">
        <f>IF(Data!$S$3&lt;Engine!N$1,0,Data!H11)</f>
        <v>Rabbitohs</v>
      </c>
      <c r="O10" s="2" t="str">
        <f>IF(Data!$S$3&lt;Engine!O$1,0,Data!I11)</f>
        <v>Eels</v>
      </c>
      <c r="P10" s="2" t="str">
        <f>IF(Data!$S$3&lt;Engine!P$1,0,Data!J11)</f>
        <v>Cowboys</v>
      </c>
      <c r="Q10" s="11" t="str">
        <f>IF(Data!B11=1,Data!K11,"No Tips")</f>
        <v>Panthers</v>
      </c>
      <c r="R10" s="2">
        <f>Data!L11</f>
        <v>14</v>
      </c>
      <c r="S10" s="2">
        <f>Data!M11</f>
        <v>487</v>
      </c>
      <c r="T10" s="1">
        <f>IF(I10="","",COUNTIF('Live Ladder'!P:P,I10)+COUNTIF('Live Ladder'!P:P,J10)+COUNTIF('Live Ladder'!P:P,K10)+COUNTIF('Live Ladder'!P:P,L10)+COUNTIF('Live Ladder'!P:P,M10)+COUNTIF('Live Ladder'!P:P,N10)+COUNTIF('Live Ladder'!P:P,O10)+COUNTIF('Live Ladder'!P:P,P10))</f>
        <v>1</v>
      </c>
      <c r="U10" s="1">
        <f>IF(I10="","",IF(COUNTIF('Live Ladder'!P:P,Engine!Q10)=1,2,IF(COUNTIF('Live Ladder'!Q:Q,Engine!Q10)=1,-2,0)))</f>
        <v>2</v>
      </c>
      <c r="V10" s="1">
        <f>IF(I10="","",IF(T10=Data!S$3,2,0))</f>
        <v>0</v>
      </c>
      <c r="W10" s="1">
        <f t="shared" si="11"/>
        <v>3</v>
      </c>
      <c r="X10" s="1">
        <f>IF(I10="",AE$2,IF(I10='Live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64</v>
      </c>
      <c r="Y10">
        <f t="shared" si="4"/>
        <v>17</v>
      </c>
      <c r="Z10">
        <f t="shared" si="12"/>
        <v>551</v>
      </c>
      <c r="AA10" s="111">
        <f t="shared" si="13"/>
        <v>17.005510085000001</v>
      </c>
      <c r="AB10">
        <f t="shared" si="6"/>
        <v>3</v>
      </c>
      <c r="AC10">
        <f>IF(I10="","",IF(I10='Live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64</v>
      </c>
      <c r="AF10">
        <f>IF(I10="","",IF(Q10="",0,IF(AND(Q10&gt;0,COUNTIF('Stats Calculator'!$T$24:$AA$24,Q10)=1),HLOOKUP(Q10,'Stats Calculator'!$T$24:$AA$27,4,FALSE),IF(AND(Q10&gt;0,COUNTIF('Stats Calculator'!$T$25:$AA$25,Q10)=1),HLOOKUP(Q10,'Stats Calculator'!$T$25:$AA$27,3,FALSE)))))</f>
        <v>2</v>
      </c>
      <c r="AG10">
        <f>IF(I10="","",COUNTIF(I10,'Stats Calculator'!E$31)+COUNTIF(J10,'Stats Calculator'!E$32)+COUNTIF(K10,'Stats Calculator'!E$33)+COUNTIF(L10,'Stats Calculator'!E$34)+COUNTIF(M10,'Stats Calculator'!E$35)+COUNTIF(N10,'Stats Calculator'!E$36)+COUNTIF(O10,'Stats Calculator'!E$37)+COUNTIF(P10,'Stats Calculator'!E$38)-8+Data!S$3)</f>
        <v>1</v>
      </c>
      <c r="AH10">
        <f>IF(I10="","",IF(Q10="",0,IF(Q10=0,0,IF(VLOOKUP(Engine!AF10,'Stats Calculator'!B$31:E$38,4,FALSE)="",0,IF(VLOOKUP(Engine!AF10,'Stats Calculator'!B$31:E$38,4,FALSE)=Q10,2,-2)))))</f>
        <v>2</v>
      </c>
      <c r="AI10">
        <f>IF(I10="","",Data!S$3-COUNTA('Stats Calculator'!E$31:E$38))</f>
        <v>5</v>
      </c>
      <c r="AJ10">
        <f>IF(I10="","",IF(AF10=0,0,IF(VLOOKUP(AF10,'Stats Calculator'!B$31:E$38,4,FALSE)&gt;0,0,2)))</f>
        <v>0</v>
      </c>
      <c r="AK10">
        <f>IF(I10="","",IF(Data!S$3-Engine!AI10=AG10,2,0))</f>
        <v>0</v>
      </c>
      <c r="AL10">
        <f t="shared" si="14"/>
        <v>8</v>
      </c>
    </row>
    <row r="11" spans="1:38" x14ac:dyDescent="0.35">
      <c r="A11">
        <v>10</v>
      </c>
      <c r="B11">
        <f t="shared" si="0"/>
        <v>2</v>
      </c>
      <c r="C11" s="111">
        <f t="shared" si="8"/>
        <v>16.004960084</v>
      </c>
      <c r="D11">
        <f t="shared" si="1"/>
        <v>1</v>
      </c>
      <c r="E11" s="3" t="str">
        <f t="shared" si="9"/>
        <v>p</v>
      </c>
      <c r="F11">
        <f t="shared" si="10"/>
        <v>1</v>
      </c>
      <c r="G11">
        <v>84</v>
      </c>
      <c r="H11" t="str">
        <f>Data!A12</f>
        <v>Control</v>
      </c>
      <c r="I11" s="2" t="str">
        <f>Data!C12</f>
        <v>Bulldogs</v>
      </c>
      <c r="J11" s="2" t="str">
        <f>Data!D12</f>
        <v>Panthers</v>
      </c>
      <c r="K11" s="2" t="str">
        <f>Data!E12</f>
        <v>Storm</v>
      </c>
      <c r="L11" s="2" t="str">
        <f>IF(Data!$S$3&lt;Engine!L$1,0,Data!F12)</f>
        <v>Warriors</v>
      </c>
      <c r="M11" s="2" t="str">
        <f>IF(Data!$S$3&lt;Engine!M$1,0,Data!G12)</f>
        <v>Sharks</v>
      </c>
      <c r="N11" s="2" t="str">
        <f>IF(Data!$S$3&lt;Engine!N$1,0,Data!H12)</f>
        <v>Rabbitohs</v>
      </c>
      <c r="O11" s="2" t="str">
        <f>IF(Data!$S$3&lt;Engine!O$1,0,Data!I12)</f>
        <v>Eels</v>
      </c>
      <c r="P11" s="2" t="str">
        <f>IF(Data!$S$3&lt;Engine!P$1,0,Data!J12)</f>
        <v>Cowboys</v>
      </c>
      <c r="Q11" s="11" t="str">
        <f>IF(Data!B12=1,Data!K12,"No Tips")</f>
        <v>Sharks</v>
      </c>
      <c r="R11" s="2">
        <f>Data!L12</f>
        <v>16</v>
      </c>
      <c r="S11" s="2">
        <f>Data!M12</f>
        <v>496</v>
      </c>
      <c r="T11" s="1">
        <f>IF(I11="","",COUNTIF('Live Ladder'!P:P,I11)+COUNTIF('Live Ladder'!P:P,J11)+COUNTIF('Live Ladder'!P:P,K11)+COUNTIF('Live Ladder'!P:P,L11)+COUNTIF('Live Ladder'!P:P,M11)+COUNTIF('Live Ladder'!P:P,N11)+COUNTIF('Live Ladder'!P:P,O11)+COUNTIF('Live Ladder'!P:P,P11))</f>
        <v>2</v>
      </c>
      <c r="U11" s="1">
        <f>IF(I11="","",IF(COUNTIF('Live Ladder'!P:P,Engine!Q11)=1,2,IF(COUNTIF('Live Ladder'!Q:Q,Engine!Q11)=1,-2,0)))</f>
        <v>0</v>
      </c>
      <c r="V11" s="1">
        <f>IF(I11="","",IF(T11=Data!S$3,2,0))</f>
        <v>0</v>
      </c>
      <c r="W11" s="1">
        <f t="shared" si="11"/>
        <v>2</v>
      </c>
      <c r="X11" s="1">
        <f>IF(I11="",AE$2,IF(I11='Live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68</v>
      </c>
      <c r="Y11">
        <f t="shared" si="4"/>
        <v>18</v>
      </c>
      <c r="Z11">
        <f t="shared" si="12"/>
        <v>564</v>
      </c>
      <c r="AA11" s="111">
        <f t="shared" si="13"/>
        <v>18.005640083999999</v>
      </c>
      <c r="AB11">
        <f t="shared" si="6"/>
        <v>2</v>
      </c>
      <c r="AC11">
        <f>IF(I11="","",IF(I11='Live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68</v>
      </c>
      <c r="AF11">
        <f>IF(I11="","",IF(Q11="",0,IF(AND(Q11&gt;0,COUNTIF('Stats Calculator'!$T$24:$AA$24,Q11)=1),HLOOKUP(Q11,'Stats Calculator'!$T$24:$AA$27,4,FALSE),IF(AND(Q11&gt;0,COUNTIF('Stats Calculator'!$T$25:$AA$25,Q11)=1),HLOOKUP(Q11,'Stats Calculator'!$T$25:$AA$27,3,FALSE)))))</f>
        <v>5</v>
      </c>
      <c r="AG11">
        <f>IF(I11="","",COUNTIF(I11,'Stats Calculator'!E$31)+COUNTIF(J11,'Stats Calculator'!E$32)+COUNTIF(K11,'Stats Calculator'!E$33)+COUNTIF(L11,'Stats Calculator'!E$34)+COUNTIF(M11,'Stats Calculator'!E$35)+COUNTIF(N11,'Stats Calculator'!E$36)+COUNTIF(O11,'Stats Calculator'!E$37)+COUNTIF(P11,'Stats Calculator'!E$38)-8+Data!S$3)</f>
        <v>2</v>
      </c>
      <c r="AH11">
        <f>IF(I11="","",IF(Q11="",0,IF(Q11=0,0,IF(VLOOKUP(Engine!AF11,'Stats Calculator'!B$31:E$38,4,FALSE)="",0,IF(VLOOKUP(Engine!AF11,'Stats Calculator'!B$31:E$38,4,FALSE)=Q11,2,-2)))))</f>
        <v>0</v>
      </c>
      <c r="AI11">
        <f>IF(I11="","",Data!S$3-COUNTA('Stats Calculator'!E$31:E$38))</f>
        <v>5</v>
      </c>
      <c r="AJ11">
        <f>IF(I11="","",IF(AF11=0,0,IF(VLOOKUP(AF11,'Stats Calculator'!B$31:E$38,4,FALSE)&gt;0,0,2)))</f>
        <v>2</v>
      </c>
      <c r="AK11">
        <f>IF(I11="","",IF(Data!S$3-Engine!AI11=AG11,2,0))</f>
        <v>0</v>
      </c>
      <c r="AL11">
        <f t="shared" si="14"/>
        <v>9</v>
      </c>
    </row>
    <row r="12" spans="1:38" x14ac:dyDescent="0.35">
      <c r="A12">
        <v>11</v>
      </c>
      <c r="B12">
        <f t="shared" si="0"/>
        <v>38</v>
      </c>
      <c r="C12" s="111">
        <f>IF(H12="ZZZZZZ Suspend","",R12+(S12/100000)+(G12/1000000000))</f>
        <v>10.004480082999999</v>
      </c>
      <c r="D12">
        <f t="shared" si="1"/>
        <v>43</v>
      </c>
      <c r="E12" s="3" t="str">
        <f t="shared" si="9"/>
        <v>q</v>
      </c>
      <c r="F12">
        <f t="shared" si="10"/>
        <v>5</v>
      </c>
      <c r="G12">
        <v>83</v>
      </c>
      <c r="H12" t="str">
        <f>Data!A13</f>
        <v>Craig Young's Love Child</v>
      </c>
      <c r="I12" s="2" t="str">
        <f>Data!C13</f>
        <v>Raiders</v>
      </c>
      <c r="J12" s="2" t="str">
        <f>Data!D13</f>
        <v>Panthers</v>
      </c>
      <c r="K12" s="2" t="str">
        <f>Data!E13</f>
        <v>Storm</v>
      </c>
      <c r="L12" s="2" t="str">
        <f>IF(Data!$S$3&lt;Engine!L$1,0,Data!F13)</f>
        <v>Warriors</v>
      </c>
      <c r="M12" s="2" t="str">
        <f>IF(Data!$S$3&lt;Engine!M$1,0,Data!G13)</f>
        <v>Sharks</v>
      </c>
      <c r="N12" s="2" t="str">
        <f>IF(Data!$S$3&lt;Engine!N$1,0,Data!H13)</f>
        <v>Rabbitohs</v>
      </c>
      <c r="O12" s="2" t="str">
        <f>IF(Data!$S$3&lt;Engine!O$1,0,Data!I13)</f>
        <v>Dragons</v>
      </c>
      <c r="P12" s="2" t="str">
        <f>IF(Data!$S$3&lt;Engine!P$1,0,Data!J13)</f>
        <v>Cowboys</v>
      </c>
      <c r="Q12" s="11" t="str">
        <f>IF(Data!B13=1,Data!K13,"No Tips")</f>
        <v>Storm</v>
      </c>
      <c r="R12" s="2">
        <f>Data!L13</f>
        <v>10</v>
      </c>
      <c r="S12" s="2">
        <f>Data!M13</f>
        <v>448</v>
      </c>
      <c r="T12" s="1">
        <f>IF(I12="","",COUNTIF('Live Ladder'!P:P,I12)+COUNTIF('Live Ladder'!P:P,J12)+COUNTIF('Live Ladder'!P:P,K12)+COUNTIF('Live Ladder'!P:P,L12)+COUNTIF('Live Ladder'!P:P,M12)+COUNTIF('Live Ladder'!P:P,N12)+COUNTIF('Live Ladder'!P:P,O12)+COUNTIF('Live Ladder'!P:P,P12))</f>
        <v>1</v>
      </c>
      <c r="U12" s="1">
        <f>IF(I12="","",IF(COUNTIF('Live Ladder'!P:P,Engine!Q12)=1,2,IF(COUNTIF('Live Ladder'!Q:Q,Engine!Q12)=1,-2,0)))</f>
        <v>-2</v>
      </c>
      <c r="V12" s="1">
        <f>IF(I12="","",IF(T12=Data!S$3,2,0))</f>
        <v>0</v>
      </c>
      <c r="W12" s="1">
        <f t="shared" si="11"/>
        <v>-1</v>
      </c>
      <c r="X12" s="1">
        <f>IF(I12="",AE$2,IF(I12='Live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64</v>
      </c>
      <c r="Y12">
        <f t="shared" si="4"/>
        <v>9</v>
      </c>
      <c r="Z12">
        <f t="shared" si="12"/>
        <v>512</v>
      </c>
      <c r="AA12" s="111">
        <f t="shared" si="13"/>
        <v>9.0051200829999996</v>
      </c>
      <c r="AB12">
        <f t="shared" si="6"/>
        <v>-1</v>
      </c>
      <c r="AC12">
        <f>IF(I12="","",IF(I12='Live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64</v>
      </c>
      <c r="AF12">
        <f>IF(I12="","",IF(Q12="",0,IF(AND(Q12&gt;0,COUNTIF('Stats Calculator'!$T$24:$AA$24,Q12)=1),HLOOKUP(Q12,'Stats Calculator'!$T$24:$AA$27,4,FALSE),IF(AND(Q12&gt;0,COUNTIF('Stats Calculator'!$T$25:$AA$25,Q12)=1),HLOOKUP(Q12,'Stats Calculator'!$T$25:$AA$27,3,FALSE)))))</f>
        <v>3</v>
      </c>
      <c r="AG12">
        <f>IF(I12="","",COUNTIF(I12,'Stats Calculator'!E$31)+COUNTIF(J12,'Stats Calculator'!E$32)+COUNTIF(K12,'Stats Calculator'!E$33)+COUNTIF(L12,'Stats Calculator'!E$34)+COUNTIF(M12,'Stats Calculator'!E$35)+COUNTIF(N12,'Stats Calculator'!E$36)+COUNTIF(O12,'Stats Calculator'!E$37)+COUNTIF(P12,'Stats Calculator'!E$38)-8+Data!S$3)</f>
        <v>1</v>
      </c>
      <c r="AH12">
        <f>IF(I12="","",IF(Q12="",0,IF(Q12=0,0,IF(VLOOKUP(Engine!AF12,'Stats Calculator'!B$31:E$38,4,FALSE)="",0,IF(VLOOKUP(Engine!AF12,'Stats Calculator'!B$31:E$38,4,FALSE)=Q12,2,-2)))))</f>
        <v>-2</v>
      </c>
      <c r="AI12">
        <f>IF(I12="","",Data!S$3-COUNTA('Stats Calculator'!E$31:E$38))</f>
        <v>5</v>
      </c>
      <c r="AJ12">
        <f>IF(I12="","",IF(AF12=0,0,IF(VLOOKUP(AF12,'Stats Calculator'!B$31:E$38,4,FALSE)&gt;0,0,2)))</f>
        <v>0</v>
      </c>
      <c r="AK12">
        <f>IF(I12="","",IF(Data!S$3-Engine!AI12=AG12,2,0))</f>
        <v>0</v>
      </c>
      <c r="AL12">
        <f t="shared" si="14"/>
        <v>4</v>
      </c>
    </row>
    <row r="13" spans="1:38" x14ac:dyDescent="0.35">
      <c r="A13">
        <v>12</v>
      </c>
      <c r="B13">
        <f t="shared" si="0"/>
        <v>4</v>
      </c>
      <c r="C13" s="111">
        <f t="shared" si="8"/>
        <v>15.005070082</v>
      </c>
      <c r="D13">
        <f t="shared" si="1"/>
        <v>8</v>
      </c>
      <c r="E13" s="3" t="str">
        <f t="shared" si="9"/>
        <v>q</v>
      </c>
      <c r="F13">
        <f t="shared" si="10"/>
        <v>4</v>
      </c>
      <c r="G13">
        <v>82</v>
      </c>
      <c r="H13" t="str">
        <f>Data!A14</f>
        <v>Cruella</v>
      </c>
      <c r="I13" s="2" t="str">
        <f>Data!C14</f>
        <v>Bulldogs</v>
      </c>
      <c r="J13" s="2" t="str">
        <f>Data!D14</f>
        <v>Panthers</v>
      </c>
      <c r="K13" s="2" t="str">
        <f>Data!E14</f>
        <v>Storm</v>
      </c>
      <c r="L13" s="2" t="str">
        <f>IF(Data!$S$3&lt;Engine!L$1,0,Data!F14)</f>
        <v>Knights</v>
      </c>
      <c r="M13" s="2" t="str">
        <f>IF(Data!$S$3&lt;Engine!M$1,0,Data!G14)</f>
        <v>Sharks</v>
      </c>
      <c r="N13" s="2" t="str">
        <f>IF(Data!$S$3&lt;Engine!N$1,0,Data!H14)</f>
        <v>Wests Tigers</v>
      </c>
      <c r="O13" s="2" t="str">
        <f>IF(Data!$S$3&lt;Engine!O$1,0,Data!I14)</f>
        <v>Eels</v>
      </c>
      <c r="P13" s="2" t="str">
        <f>IF(Data!$S$3&lt;Engine!P$1,0,Data!J14)</f>
        <v>Cowboys</v>
      </c>
      <c r="Q13" s="11" t="str">
        <f>IF(Data!B14=1,Data!K14,"No Tips")</f>
        <v>Storm</v>
      </c>
      <c r="R13" s="2">
        <f>Data!L14</f>
        <v>15</v>
      </c>
      <c r="S13" s="2">
        <f>Data!M14</f>
        <v>507</v>
      </c>
      <c r="T13" s="1">
        <f>IF(I13="","",COUNTIF('Live Ladder'!P:P,I13)+COUNTIF('Live Ladder'!P:P,J13)+COUNTIF('Live Ladder'!P:P,K13)+COUNTIF('Live Ladder'!P:P,L13)+COUNTIF('Live Ladder'!P:P,M13)+COUNTIF('Live Ladder'!P:P,N13)+COUNTIF('Live Ladder'!P:P,O13)+COUNTIF('Live Ladder'!P:P,P13))</f>
        <v>2</v>
      </c>
      <c r="U13" s="1">
        <f>IF(I13="","",IF(COUNTIF('Live Ladder'!P:P,Engine!Q13)=1,2,IF(COUNTIF('Live Ladder'!Q:Q,Engine!Q13)=1,-2,0)))</f>
        <v>-2</v>
      </c>
      <c r="V13" s="1">
        <f>IF(I13="","",IF(T13=Data!S$3,2,0))</f>
        <v>0</v>
      </c>
      <c r="W13" s="1">
        <f t="shared" si="11"/>
        <v>0</v>
      </c>
      <c r="X13" s="1">
        <f>IF(I13="",AE$2,IF(I13='Live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68</v>
      </c>
      <c r="Y13">
        <f t="shared" si="4"/>
        <v>15</v>
      </c>
      <c r="Z13">
        <f t="shared" si="12"/>
        <v>575</v>
      </c>
      <c r="AA13" s="111">
        <f t="shared" si="13"/>
        <v>15.005750082</v>
      </c>
      <c r="AB13">
        <f t="shared" si="6"/>
        <v>0</v>
      </c>
      <c r="AC13">
        <f>IF(I13="","",IF(I13='Live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68</v>
      </c>
      <c r="AF13">
        <f>IF(I13="","",IF(Q13="",0,IF(AND(Q13&gt;0,COUNTIF('Stats Calculator'!$T$24:$AA$24,Q13)=1),HLOOKUP(Q13,'Stats Calculator'!$T$24:$AA$27,4,FALSE),IF(AND(Q13&gt;0,COUNTIF('Stats Calculator'!$T$25:$AA$25,Q13)=1),HLOOKUP(Q13,'Stats Calculator'!$T$25:$AA$27,3,FALSE)))))</f>
        <v>3</v>
      </c>
      <c r="AG13">
        <f>IF(I13="","",COUNTIF(I13,'Stats Calculator'!E$31)+COUNTIF(J13,'Stats Calculator'!E$32)+COUNTIF(K13,'Stats Calculator'!E$33)+COUNTIF(L13,'Stats Calculator'!E$34)+COUNTIF(M13,'Stats Calculator'!E$35)+COUNTIF(N13,'Stats Calculator'!E$36)+COUNTIF(O13,'Stats Calculator'!E$37)+COUNTIF(P13,'Stats Calculator'!E$38)-8+Data!S$3)</f>
        <v>2</v>
      </c>
      <c r="AH13">
        <f>IF(I13="","",IF(Q13="",0,IF(Q13=0,0,IF(VLOOKUP(Engine!AF13,'Stats Calculator'!B$31:E$38,4,FALSE)="",0,IF(VLOOKUP(Engine!AF13,'Stats Calculator'!B$31:E$38,4,FALSE)=Q13,2,-2)))))</f>
        <v>-2</v>
      </c>
      <c r="AI13">
        <f>IF(I13="","",Data!S$3-COUNTA('Stats Calculator'!E$31:E$38))</f>
        <v>5</v>
      </c>
      <c r="AJ13">
        <f>IF(I13="","",IF(AF13=0,0,IF(VLOOKUP(AF13,'Stats Calculator'!B$31:E$38,4,FALSE)&gt;0,0,2)))</f>
        <v>0</v>
      </c>
      <c r="AK13">
        <f>IF(I13="","",IF(Data!S$3-Engine!AI13=AG13,2,0))</f>
        <v>0</v>
      </c>
      <c r="AL13">
        <f t="shared" si="14"/>
        <v>5</v>
      </c>
    </row>
    <row r="14" spans="1:38" x14ac:dyDescent="0.35">
      <c r="A14">
        <v>13</v>
      </c>
      <c r="B14">
        <f t="shared" si="0"/>
        <v>33</v>
      </c>
      <c r="C14" s="111">
        <f t="shared" si="8"/>
        <v>11.003760080999999</v>
      </c>
      <c r="D14">
        <f t="shared" si="1"/>
        <v>20</v>
      </c>
      <c r="E14" s="3" t="str">
        <f t="shared" si="9"/>
        <v>p</v>
      </c>
      <c r="F14">
        <f t="shared" si="10"/>
        <v>13</v>
      </c>
      <c r="G14">
        <v>81</v>
      </c>
      <c r="H14" t="str">
        <f>Data!A15</f>
        <v>Fouad Khochaiche</v>
      </c>
      <c r="I14" s="2" t="str">
        <f>Data!C15</f>
        <v>Raiders</v>
      </c>
      <c r="J14" s="2" t="str">
        <f>Data!D15</f>
        <v>Panthers</v>
      </c>
      <c r="K14" s="2" t="str">
        <f>Data!E15</f>
        <v>Storm</v>
      </c>
      <c r="L14" s="2" t="str">
        <f>IF(Data!$S$3&lt;Engine!L$1,0,Data!F15)</f>
        <v>Warriors</v>
      </c>
      <c r="M14" s="2" t="str">
        <f>IF(Data!$S$3&lt;Engine!M$1,0,Data!G15)</f>
        <v>Sharks</v>
      </c>
      <c r="N14" s="2" t="str">
        <f>IF(Data!$S$3&lt;Engine!N$1,0,Data!H15)</f>
        <v>Wests Tigers</v>
      </c>
      <c r="O14" s="2" t="str">
        <f>IF(Data!$S$3&lt;Engine!O$1,0,Data!I15)</f>
        <v>Eels</v>
      </c>
      <c r="P14" s="2" t="str">
        <f>IF(Data!$S$3&lt;Engine!P$1,0,Data!J15)</f>
        <v>Cowboys</v>
      </c>
      <c r="Q14" s="11" t="str">
        <f>IF(Data!B15=1,Data!K15,"No Tips")</f>
        <v>Panthers</v>
      </c>
      <c r="R14" s="2">
        <f>Data!L15</f>
        <v>11</v>
      </c>
      <c r="S14" s="2">
        <f>Data!M15</f>
        <v>376</v>
      </c>
      <c r="T14" s="1">
        <f>IF(I14="","",COUNTIF('Live Ladder'!P:P,I14)+COUNTIF('Live Ladder'!P:P,J14)+COUNTIF('Live Ladder'!P:P,K14)+COUNTIF('Live Ladder'!P:P,L14)+COUNTIF('Live Ladder'!P:P,M14)+COUNTIF('Live Ladder'!P:P,N14)+COUNTIF('Live Ladder'!P:P,O14)+COUNTIF('Live Ladder'!P:P,P14))</f>
        <v>1</v>
      </c>
      <c r="U14" s="1">
        <f>IF(I14="","",IF(COUNTIF('Live Ladder'!P:P,Engine!Q14)=1,2,IF(COUNTIF('Live Ladder'!Q:Q,Engine!Q14)=1,-2,0)))</f>
        <v>2</v>
      </c>
      <c r="V14" s="1">
        <f>IF(I14="","",IF(T14=Data!S$3,2,0))</f>
        <v>0</v>
      </c>
      <c r="W14" s="1">
        <f t="shared" si="11"/>
        <v>3</v>
      </c>
      <c r="X14" s="1">
        <f>IF(I14="",AE$2,IF(I14='Live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64</v>
      </c>
      <c r="Y14">
        <f t="shared" si="4"/>
        <v>14</v>
      </c>
      <c r="Z14">
        <f t="shared" si="12"/>
        <v>440</v>
      </c>
      <c r="AA14" s="111">
        <f t="shared" si="13"/>
        <v>14.004400081</v>
      </c>
      <c r="AB14">
        <f t="shared" si="6"/>
        <v>3</v>
      </c>
      <c r="AC14">
        <f>IF(I14="","",IF(I14='Live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64</v>
      </c>
      <c r="AF14">
        <f>IF(I14="","",IF(Q14="",0,IF(AND(Q14&gt;0,COUNTIF('Stats Calculator'!$T$24:$AA$24,Q14)=1),HLOOKUP(Q14,'Stats Calculator'!$T$24:$AA$27,4,FALSE),IF(AND(Q14&gt;0,COUNTIF('Stats Calculator'!$T$25:$AA$25,Q14)=1),HLOOKUP(Q14,'Stats Calculator'!$T$25:$AA$27,3,FALSE)))))</f>
        <v>2</v>
      </c>
      <c r="AG14">
        <f>IF(I14="","",COUNTIF(I14,'Stats Calculator'!E$31)+COUNTIF(J14,'Stats Calculator'!E$32)+COUNTIF(K14,'Stats Calculator'!E$33)+COUNTIF(L14,'Stats Calculator'!E$34)+COUNTIF(M14,'Stats Calculator'!E$35)+COUNTIF(N14,'Stats Calculator'!E$36)+COUNTIF(O14,'Stats Calculator'!E$37)+COUNTIF(P14,'Stats Calculator'!E$38)-8+Data!S$3)</f>
        <v>1</v>
      </c>
      <c r="AH14">
        <f>IF(I14="","",IF(Q14="",0,IF(Q14=0,0,IF(VLOOKUP(Engine!AF14,'Stats Calculator'!B$31:E$38,4,FALSE)="",0,IF(VLOOKUP(Engine!AF14,'Stats Calculator'!B$31:E$38,4,FALSE)=Q14,2,-2)))))</f>
        <v>2</v>
      </c>
      <c r="AI14">
        <f>IF(I14="","",Data!S$3-COUNTA('Stats Calculator'!E$31:E$38))</f>
        <v>5</v>
      </c>
      <c r="AJ14">
        <f>IF(I14="","",IF(AF14=0,0,IF(VLOOKUP(AF14,'Stats Calculator'!B$31:E$38,4,FALSE)&gt;0,0,2)))</f>
        <v>0</v>
      </c>
      <c r="AK14">
        <f>IF(I14="","",IF(Data!S$3-Engine!AI14=AG14,2,0))</f>
        <v>0</v>
      </c>
      <c r="AL14">
        <f t="shared" si="14"/>
        <v>8</v>
      </c>
    </row>
    <row r="15" spans="1:38" x14ac:dyDescent="0.35">
      <c r="A15">
        <v>14</v>
      </c>
      <c r="B15">
        <f t="shared" si="0"/>
        <v>43</v>
      </c>
      <c r="C15" s="111">
        <f t="shared" si="8"/>
        <v>9.0042000800000004</v>
      </c>
      <c r="D15">
        <f t="shared" si="1"/>
        <v>46</v>
      </c>
      <c r="E15" s="3" t="str">
        <f t="shared" si="9"/>
        <v>q</v>
      </c>
      <c r="F15">
        <f t="shared" si="10"/>
        <v>3</v>
      </c>
      <c r="G15">
        <v>80</v>
      </c>
      <c r="H15" t="str">
        <f>Data!A16</f>
        <v>gdadisho</v>
      </c>
      <c r="I15" s="2" t="str">
        <f>Data!C16</f>
        <v>Raiders</v>
      </c>
      <c r="J15" s="2" t="str">
        <f>Data!D16</f>
        <v>Panthers</v>
      </c>
      <c r="K15" s="2" t="str">
        <f>Data!E16</f>
        <v>Storm</v>
      </c>
      <c r="L15" s="2" t="str">
        <f>IF(Data!$S$3&lt;Engine!L$1,0,Data!F16)</f>
        <v>Warriors</v>
      </c>
      <c r="M15" s="2" t="str">
        <f>IF(Data!$S$3&lt;Engine!M$1,0,Data!G16)</f>
        <v>Sharks</v>
      </c>
      <c r="N15" s="2" t="str">
        <f>IF(Data!$S$3&lt;Engine!N$1,0,Data!H16)</f>
        <v>Rabbitohs</v>
      </c>
      <c r="O15" s="2" t="str">
        <f>IF(Data!$S$3&lt;Engine!O$1,0,Data!I16)</f>
        <v>Eels</v>
      </c>
      <c r="P15" s="2" t="str">
        <f>IF(Data!$S$3&lt;Engine!P$1,0,Data!J16)</f>
        <v>Titans</v>
      </c>
      <c r="Q15" s="11" t="str">
        <f>IF(Data!B16=1,Data!K16,"No Tips")</f>
        <v>Storm</v>
      </c>
      <c r="R15" s="2">
        <f>Data!L16</f>
        <v>9</v>
      </c>
      <c r="S15" s="2">
        <f>Data!M16</f>
        <v>420</v>
      </c>
      <c r="T15" s="1">
        <f>IF(I15="","",COUNTIF('Live Ladder'!P:P,I15)+COUNTIF('Live Ladder'!P:P,J15)+COUNTIF('Live Ladder'!P:P,K15)+COUNTIF('Live Ladder'!P:P,L15)+COUNTIF('Live Ladder'!P:P,M15)+COUNTIF('Live Ladder'!P:P,N15)+COUNTIF('Live Ladder'!P:P,O15)+COUNTIF('Live Ladder'!P:P,P15))</f>
        <v>1</v>
      </c>
      <c r="U15" s="1">
        <f>IF(I15="","",IF(COUNTIF('Live Ladder'!P:P,Engine!Q15)=1,2,IF(COUNTIF('Live Ladder'!Q:Q,Engine!Q15)=1,-2,0)))</f>
        <v>-2</v>
      </c>
      <c r="V15" s="1">
        <f>IF(I15="","",IF(T15=Data!S$3,2,0))</f>
        <v>0</v>
      </c>
      <c r="W15" s="1">
        <f t="shared" si="11"/>
        <v>-1</v>
      </c>
      <c r="X15" s="1">
        <f>IF(I15="",AE$2,IF(I15='Live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64</v>
      </c>
      <c r="Y15">
        <f t="shared" si="4"/>
        <v>8</v>
      </c>
      <c r="Z15">
        <f t="shared" si="12"/>
        <v>484</v>
      </c>
      <c r="AA15" s="111">
        <f t="shared" si="13"/>
        <v>8.0048400799999992</v>
      </c>
      <c r="AB15">
        <f t="shared" si="6"/>
        <v>-1</v>
      </c>
      <c r="AC15">
        <f>IF(I15="","",IF(I15='Live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64</v>
      </c>
      <c r="AF15">
        <f>IF(I15="","",IF(Q15="",0,IF(AND(Q15&gt;0,COUNTIF('Stats Calculator'!$T$24:$AA$24,Q15)=1),HLOOKUP(Q15,'Stats Calculator'!$T$24:$AA$27,4,FALSE),IF(AND(Q15&gt;0,COUNTIF('Stats Calculator'!$T$25:$AA$25,Q15)=1),HLOOKUP(Q15,'Stats Calculator'!$T$25:$AA$27,3,FALSE)))))</f>
        <v>3</v>
      </c>
      <c r="AG15">
        <f>IF(I15="","",COUNTIF(I15,'Stats Calculator'!E$31)+COUNTIF(J15,'Stats Calculator'!E$32)+COUNTIF(K15,'Stats Calculator'!E$33)+COUNTIF(L15,'Stats Calculator'!E$34)+COUNTIF(M15,'Stats Calculator'!E$35)+COUNTIF(N15,'Stats Calculator'!E$36)+COUNTIF(O15,'Stats Calculator'!E$37)+COUNTIF(P15,'Stats Calculator'!E$38)-8+Data!S$3)</f>
        <v>1</v>
      </c>
      <c r="AH15">
        <f>IF(I15="","",IF(Q15="",0,IF(Q15=0,0,IF(VLOOKUP(Engine!AF15,'Stats Calculator'!B$31:E$38,4,FALSE)="",0,IF(VLOOKUP(Engine!AF15,'Stats Calculator'!B$31:E$38,4,FALSE)=Q15,2,-2)))))</f>
        <v>-2</v>
      </c>
      <c r="AI15">
        <f>IF(I15="","",Data!S$3-COUNTA('Stats Calculator'!E$31:E$38))</f>
        <v>5</v>
      </c>
      <c r="AJ15">
        <f>IF(I15="","",IF(AF15=0,0,IF(VLOOKUP(AF15,'Stats Calculator'!B$31:E$38,4,FALSE)&gt;0,0,2)))</f>
        <v>0</v>
      </c>
      <c r="AK15">
        <f>IF(I15="","",IF(Data!S$3-Engine!AI15=AG15,2,0))</f>
        <v>0</v>
      </c>
      <c r="AL15">
        <f t="shared" si="14"/>
        <v>4</v>
      </c>
    </row>
    <row r="16" spans="1:38" x14ac:dyDescent="0.35">
      <c r="A16">
        <v>15</v>
      </c>
      <c r="B16">
        <f t="shared" si="0"/>
        <v>29</v>
      </c>
      <c r="C16" s="111">
        <f t="shared" si="8"/>
        <v>12.004180078999999</v>
      </c>
      <c r="D16">
        <f t="shared" si="1"/>
        <v>27</v>
      </c>
      <c r="E16" s="3" t="str">
        <f t="shared" si="9"/>
        <v>p</v>
      </c>
      <c r="F16">
        <f t="shared" si="10"/>
        <v>2</v>
      </c>
      <c r="G16">
        <v>79</v>
      </c>
      <c r="H16" t="str">
        <f>Data!A17</f>
        <v>Guru2810</v>
      </c>
      <c r="I16" s="2" t="str">
        <f>Data!C17</f>
        <v>Raiders</v>
      </c>
      <c r="J16" s="2" t="str">
        <f>Data!D17</f>
        <v>Panthers</v>
      </c>
      <c r="K16" s="2" t="str">
        <f>Data!E17</f>
        <v>Storm</v>
      </c>
      <c r="L16" s="2" t="str">
        <f>IF(Data!$S$3&lt;Engine!L$1,0,Data!F17)</f>
        <v>Warriors</v>
      </c>
      <c r="M16" s="2" t="str">
        <f>IF(Data!$S$3&lt;Engine!M$1,0,Data!G17)</f>
        <v>Sharks</v>
      </c>
      <c r="N16" s="2" t="str">
        <f>IF(Data!$S$3&lt;Engine!N$1,0,Data!H17)</f>
        <v>Wests Tigers</v>
      </c>
      <c r="O16" s="2" t="str">
        <f>IF(Data!$S$3&lt;Engine!O$1,0,Data!I17)</f>
        <v>Eels</v>
      </c>
      <c r="P16" s="2" t="str">
        <f>IF(Data!$S$3&lt;Engine!P$1,0,Data!J17)</f>
        <v>Cowboys</v>
      </c>
      <c r="Q16" s="11" t="str">
        <f>IF(Data!B17=1,Data!K17,"No Tips")</f>
        <v>Eels</v>
      </c>
      <c r="R16" s="2">
        <f>Data!L17</f>
        <v>12</v>
      </c>
      <c r="S16" s="2">
        <f>Data!M17</f>
        <v>418</v>
      </c>
      <c r="T16" s="1">
        <f>IF(I16="","",COUNTIF('Live Ladder'!P:P,I16)+COUNTIF('Live Ladder'!P:P,J16)+COUNTIF('Live Ladder'!P:P,K16)+COUNTIF('Live Ladder'!P:P,L16)+COUNTIF('Live Ladder'!P:P,M16)+COUNTIF('Live Ladder'!P:P,N16)+COUNTIF('Live Ladder'!P:P,O16)+COUNTIF('Live Ladder'!P:P,P16))</f>
        <v>1</v>
      </c>
      <c r="U16" s="1">
        <f>IF(I16="","",IF(COUNTIF('Live Ladder'!P:P,Engine!Q16)=1,2,IF(COUNTIF('Live Ladder'!Q:Q,Engine!Q16)=1,-2,0)))</f>
        <v>0</v>
      </c>
      <c r="V16" s="1">
        <f>IF(I16="","",IF(T16=Data!S$3,2,0))</f>
        <v>0</v>
      </c>
      <c r="W16" s="1">
        <f t="shared" si="11"/>
        <v>1</v>
      </c>
      <c r="X16" s="1">
        <f>IF(I16="",AE$2,IF(I16='Live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64</v>
      </c>
      <c r="Y16">
        <f>IF(H16="ZZZZZZ Suspend","",R16+W16)</f>
        <v>13</v>
      </c>
      <c r="Z16">
        <f t="shared" si="12"/>
        <v>482</v>
      </c>
      <c r="AA16" s="111">
        <f t="shared" si="13"/>
        <v>13.004820079</v>
      </c>
      <c r="AB16">
        <f t="shared" si="6"/>
        <v>1</v>
      </c>
      <c r="AC16">
        <f>IF(I16="","",IF(I16='Live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64</v>
      </c>
      <c r="AF16">
        <f>IF(I16="","",IF(Q16="",0,IF(AND(Q16&gt;0,COUNTIF('Stats Calculator'!$T$24:$AA$24,Q16)=1),HLOOKUP(Q16,'Stats Calculator'!$T$24:$AA$27,4,FALSE),IF(AND(Q16&gt;0,COUNTIF('Stats Calculator'!$T$25:$AA$25,Q16)=1),HLOOKUP(Q16,'Stats Calculator'!$T$25:$AA$27,3,FALSE)))))</f>
        <v>7</v>
      </c>
      <c r="AG16">
        <f>IF(I16="","",COUNTIF(I16,'Stats Calculator'!E$31)+COUNTIF(J16,'Stats Calculator'!E$32)+COUNTIF(K16,'Stats Calculator'!E$33)+COUNTIF(L16,'Stats Calculator'!E$34)+COUNTIF(M16,'Stats Calculator'!E$35)+COUNTIF(N16,'Stats Calculator'!E$36)+COUNTIF(O16,'Stats Calculator'!E$37)+COUNTIF(P16,'Stats Calculator'!E$38)-8+Data!S$3)</f>
        <v>1</v>
      </c>
      <c r="AH16">
        <f>IF(I16="","",IF(Q16="",0,IF(Q16=0,0,IF(VLOOKUP(Engine!AF16,'Stats Calculator'!B$31:E$38,4,FALSE)="",0,IF(VLOOKUP(Engine!AF16,'Stats Calculator'!B$31:E$38,4,FALSE)=Q16,2,-2)))))</f>
        <v>0</v>
      </c>
      <c r="AI16">
        <f>IF(I16="","",Data!S$3-COUNTA('Stats Calculator'!E$31:E$38))</f>
        <v>5</v>
      </c>
      <c r="AJ16">
        <f>IF(I16="","",IF(AF16=0,0,IF(VLOOKUP(AF16,'Stats Calculator'!B$31:E$38,4,FALSE)&gt;0,0,2)))</f>
        <v>2</v>
      </c>
      <c r="AK16">
        <f>IF(I16="","",IF(Data!S$3-Engine!AI16=AG16,2,0))</f>
        <v>0</v>
      </c>
      <c r="AL16">
        <f t="shared" si="14"/>
        <v>8</v>
      </c>
    </row>
    <row r="17" spans="1:38" x14ac:dyDescent="0.35">
      <c r="A17">
        <v>16</v>
      </c>
      <c r="B17">
        <f t="shared" si="0"/>
        <v>7</v>
      </c>
      <c r="C17" s="111">
        <f t="shared" si="8"/>
        <v>15.004740077999999</v>
      </c>
      <c r="D17">
        <f t="shared" si="1"/>
        <v>12</v>
      </c>
      <c r="E17" s="3" t="str">
        <f t="shared" si="9"/>
        <v>q</v>
      </c>
      <c r="F17">
        <f t="shared" si="10"/>
        <v>5</v>
      </c>
      <c r="G17">
        <v>78</v>
      </c>
      <c r="H17" t="str">
        <f>Data!A18</f>
        <v>I miss Benji</v>
      </c>
      <c r="I17" s="2" t="str">
        <f>Data!C18</f>
        <v>Raiders</v>
      </c>
      <c r="J17" s="2" t="str">
        <f>Data!D18</f>
        <v>Roosters</v>
      </c>
      <c r="K17" s="2" t="str">
        <f>Data!E18</f>
        <v>Storm</v>
      </c>
      <c r="L17" s="2" t="str">
        <f>IF(Data!$S$3&lt;Engine!L$1,0,Data!F18)</f>
        <v>Warriors</v>
      </c>
      <c r="M17" s="2" t="str">
        <f>IF(Data!$S$3&lt;Engine!M$1,0,Data!G18)</f>
        <v>Sharks</v>
      </c>
      <c r="N17" s="2" t="str">
        <f>IF(Data!$S$3&lt;Engine!N$1,0,Data!H18)</f>
        <v>Rabbitohs</v>
      </c>
      <c r="O17" s="2" t="str">
        <f>IF(Data!$S$3&lt;Engine!O$1,0,Data!I18)</f>
        <v>Eels</v>
      </c>
      <c r="P17" s="2" t="str">
        <f>IF(Data!$S$3&lt;Engine!P$1,0,Data!J18)</f>
        <v>Cowboys</v>
      </c>
      <c r="Q17" s="11" t="str">
        <f>IF(Data!B18=1,Data!K18,"No Tips")</f>
        <v>Eels</v>
      </c>
      <c r="R17" s="2">
        <f>Data!L18</f>
        <v>15</v>
      </c>
      <c r="S17" s="2">
        <f>Data!M18</f>
        <v>474</v>
      </c>
      <c r="T17" s="1">
        <f>IF(I17="","",COUNTIF('Live Ladder'!P:P,I17)+COUNTIF('Live Ladder'!P:P,J17)+COUNTIF('Live Ladder'!P:P,K17)+COUNTIF('Live Ladder'!P:P,L17)+COUNTIF('Live Ladder'!P:P,M17)+COUNTIF('Live Ladder'!P:P,N17)+COUNTIF('Live Ladder'!P:P,O17)+COUNTIF('Live Ladder'!P:P,P17))</f>
        <v>0</v>
      </c>
      <c r="U17" s="1">
        <f>IF(I17="","",IF(COUNTIF('Live Ladder'!P:P,Engine!Q17)=1,2,IF(COUNTIF('Live Ladder'!Q:Q,Engine!Q17)=1,-2,0)))</f>
        <v>0</v>
      </c>
      <c r="V17" s="1">
        <f>IF(I17="","",IF(T17=Data!S$3,2,0))</f>
        <v>0</v>
      </c>
      <c r="W17" s="1">
        <f t="shared" si="11"/>
        <v>0</v>
      </c>
      <c r="X17" s="1">
        <f>IF(I17="",AE$2,IF(I17='Live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28</v>
      </c>
      <c r="Y17">
        <f t="shared" ref="Y17:Y80" si="15">IF(H17="ZZZZZZ Suspend","",R17+W17)</f>
        <v>15</v>
      </c>
      <c r="Z17">
        <f t="shared" si="12"/>
        <v>502</v>
      </c>
      <c r="AA17" s="111">
        <f t="shared" si="13"/>
        <v>15.005020077999999</v>
      </c>
      <c r="AB17">
        <f t="shared" si="6"/>
        <v>0</v>
      </c>
      <c r="AC17">
        <f>IF(I17="","",IF(I17='Live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28</v>
      </c>
      <c r="AD17" s="10"/>
      <c r="AE17" s="10"/>
      <c r="AF17">
        <f>IF(I17="","",IF(Q17="",0,IF(AND(Q17&gt;0,COUNTIF('Stats Calculator'!$T$24:$AA$24,Q17)=1),HLOOKUP(Q17,'Stats Calculator'!$T$24:$AA$27,4,FALSE),IF(AND(Q17&gt;0,COUNTIF('Stats Calculator'!$T$25:$AA$25,Q17)=1),HLOOKUP(Q17,'Stats Calculator'!$T$25:$AA$27,3,FALSE)))))</f>
        <v>7</v>
      </c>
      <c r="AG17">
        <f>IF(I17="","",COUNTIF(I17,'Stats Calculator'!E$31)+COUNTIF(J17,'Stats Calculator'!E$32)+COUNTIF(K17,'Stats Calculator'!E$33)+COUNTIF(L17,'Stats Calculator'!E$34)+COUNTIF(M17,'Stats Calculator'!E$35)+COUNTIF(N17,'Stats Calculator'!E$36)+COUNTIF(O17,'Stats Calculator'!E$37)+COUNTIF(P17,'Stats Calculator'!E$38)-8+Data!S$3)</f>
        <v>0</v>
      </c>
      <c r="AH17">
        <f>IF(I17="","",IF(Q17="",0,IF(Q17=0,0,IF(VLOOKUP(Engine!AF17,'Stats Calculator'!B$31:E$38,4,FALSE)="",0,IF(VLOOKUP(Engine!AF17,'Stats Calculator'!B$31:E$38,4,FALSE)=Q17,2,-2)))))</f>
        <v>0</v>
      </c>
      <c r="AI17">
        <f>IF(I17="","",Data!S$3-COUNTA('Stats Calculator'!E$31:E$38))</f>
        <v>5</v>
      </c>
      <c r="AJ17">
        <f>IF(I17="","",IF(AF17=0,0,IF(VLOOKUP(AF17,'Stats Calculator'!B$31:E$38,4,FALSE)&gt;0,0,2)))</f>
        <v>2</v>
      </c>
      <c r="AK17">
        <f>IF(I17="","",IF(Data!S$3-Engine!AI17=AG17,2,0))</f>
        <v>0</v>
      </c>
      <c r="AL17">
        <f t="shared" si="14"/>
        <v>7</v>
      </c>
    </row>
    <row r="18" spans="1:38" x14ac:dyDescent="0.35">
      <c r="A18">
        <v>17</v>
      </c>
      <c r="B18">
        <f t="shared" si="0"/>
        <v>27</v>
      </c>
      <c r="C18" s="111">
        <f t="shared" si="8"/>
        <v>12.004270076999999</v>
      </c>
      <c r="D18">
        <f t="shared" si="1"/>
        <v>40</v>
      </c>
      <c r="E18" s="3" t="str">
        <f t="shared" si="9"/>
        <v>q</v>
      </c>
      <c r="F18">
        <f t="shared" si="10"/>
        <v>13</v>
      </c>
      <c r="G18">
        <v>77</v>
      </c>
      <c r="H18" t="str">
        <f>Data!A19</f>
        <v>isha68</v>
      </c>
      <c r="I18" s="2" t="str">
        <f>Data!C19</f>
        <v>Raiders</v>
      </c>
      <c r="J18" s="2" t="str">
        <f>Data!D19</f>
        <v>Roosters</v>
      </c>
      <c r="K18" s="2" t="str">
        <f>Data!E19</f>
        <v>Storm</v>
      </c>
      <c r="L18" s="2" t="str">
        <f>IF(Data!$S$3&lt;Engine!L$1,0,Data!F19)</f>
        <v>Knights</v>
      </c>
      <c r="M18" s="2" t="str">
        <f>IF(Data!$S$3&lt;Engine!M$1,0,Data!G19)</f>
        <v>Sharks</v>
      </c>
      <c r="N18" s="2" t="str">
        <f>IF(Data!$S$3&lt;Engine!N$1,0,Data!H19)</f>
        <v>Rabbitohs</v>
      </c>
      <c r="O18" s="2" t="str">
        <f>IF(Data!$S$3&lt;Engine!O$1,0,Data!I19)</f>
        <v>Eels</v>
      </c>
      <c r="P18" s="2" t="str">
        <f>IF(Data!$S$3&lt;Engine!P$1,0,Data!J19)</f>
        <v>Cowboys</v>
      </c>
      <c r="Q18" s="11" t="str">
        <f>IF(Data!B19=1,Data!K19,"No Tips")</f>
        <v>Raiders</v>
      </c>
      <c r="R18" s="2">
        <f>Data!L19</f>
        <v>12</v>
      </c>
      <c r="S18" s="2">
        <f>Data!M19</f>
        <v>427</v>
      </c>
      <c r="T18" s="1">
        <f>IF(I18="","",COUNTIF('Live Ladder'!P:P,I18)+COUNTIF('Live Ladder'!P:P,J18)+COUNTIF('Live Ladder'!P:P,K18)+COUNTIF('Live Ladder'!P:P,L18)+COUNTIF('Live Ladder'!P:P,M18)+COUNTIF('Live Ladder'!P:P,N18)+COUNTIF('Live Ladder'!P:P,O18)+COUNTIF('Live Ladder'!P:P,P18))</f>
        <v>0</v>
      </c>
      <c r="U18" s="1">
        <f>IF(I18="","",IF(COUNTIF('Live Ladder'!P:P,Engine!Q18)=1,2,IF(COUNTIF('Live Ladder'!Q:Q,Engine!Q18)=1,-2,0)))</f>
        <v>-2</v>
      </c>
      <c r="V18" s="1">
        <f>IF(I18="","",IF(T18=Data!S$3,2,0))</f>
        <v>0</v>
      </c>
      <c r="W18" s="1">
        <f t="shared" si="11"/>
        <v>-2</v>
      </c>
      <c r="X18" s="1">
        <f>IF(I18="",AE$2,IF(I18='Live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28</v>
      </c>
      <c r="Y18">
        <f t="shared" si="15"/>
        <v>10</v>
      </c>
      <c r="Z18">
        <f t="shared" si="12"/>
        <v>455</v>
      </c>
      <c r="AA18" s="111">
        <f t="shared" si="13"/>
        <v>10.004550076999999</v>
      </c>
      <c r="AB18">
        <f t="shared" si="6"/>
        <v>-2</v>
      </c>
      <c r="AC18">
        <f>IF(I18="","",IF(I18='Live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28</v>
      </c>
      <c r="AF18">
        <f>IF(I18="","",IF(Q18="",0,IF(AND(Q18&gt;0,COUNTIF('Stats Calculator'!$T$24:$AA$24,Q18)=1),HLOOKUP(Q18,'Stats Calculator'!$T$24:$AA$27,4,FALSE),IF(AND(Q18&gt;0,COUNTIF('Stats Calculator'!$T$25:$AA$25,Q18)=1),HLOOKUP(Q18,'Stats Calculator'!$T$25:$AA$27,3,FALSE)))))</f>
        <v>1</v>
      </c>
      <c r="AG18">
        <f>IF(I18="","",COUNTIF(I18,'Stats Calculator'!E$31)+COUNTIF(J18,'Stats Calculator'!E$32)+COUNTIF(K18,'Stats Calculator'!E$33)+COUNTIF(L18,'Stats Calculator'!E$34)+COUNTIF(M18,'Stats Calculator'!E$35)+COUNTIF(N18,'Stats Calculator'!E$36)+COUNTIF(O18,'Stats Calculator'!E$37)+COUNTIF(P18,'Stats Calculator'!E$38)-8+Data!S$3)</f>
        <v>0</v>
      </c>
      <c r="AH18">
        <f>IF(I18="","",IF(Q18="",0,IF(Q18=0,0,IF(VLOOKUP(Engine!AF18,'Stats Calculator'!B$31:E$38,4,FALSE)="",0,IF(VLOOKUP(Engine!AF18,'Stats Calculator'!B$31:E$38,4,FALSE)=Q18,2,-2)))))</f>
        <v>-2</v>
      </c>
      <c r="AI18">
        <f>IF(I18="","",Data!S$3-COUNTA('Stats Calculator'!E$31:E$38))</f>
        <v>5</v>
      </c>
      <c r="AJ18">
        <f>IF(I18="","",IF(AF18=0,0,IF(VLOOKUP(AF18,'Stats Calculator'!B$31:E$38,4,FALSE)&gt;0,0,2)))</f>
        <v>0</v>
      </c>
      <c r="AK18">
        <f>IF(I18="","",IF(Data!S$3-Engine!AI18=AG18,2,0))</f>
        <v>0</v>
      </c>
      <c r="AL18">
        <f t="shared" si="14"/>
        <v>3</v>
      </c>
    </row>
    <row r="19" spans="1:38" x14ac:dyDescent="0.35">
      <c r="A19">
        <v>18</v>
      </c>
      <c r="B19">
        <f t="shared" si="0"/>
        <v>32</v>
      </c>
      <c r="C19" s="111">
        <f t="shared" si="8"/>
        <v>11.004790075999999</v>
      </c>
      <c r="D19">
        <f t="shared" si="1"/>
        <v>9</v>
      </c>
      <c r="E19" s="3" t="str">
        <f t="shared" si="9"/>
        <v>p</v>
      </c>
      <c r="F19">
        <f t="shared" si="10"/>
        <v>23</v>
      </c>
      <c r="G19">
        <v>76</v>
      </c>
      <c r="H19" t="str">
        <f>Data!A20</f>
        <v>iTerry</v>
      </c>
      <c r="I19" s="2" t="str">
        <f>Data!C20</f>
        <v>Bulldogs</v>
      </c>
      <c r="J19" s="2" t="str">
        <f>Data!D20</f>
        <v>Panthers</v>
      </c>
      <c r="K19" s="2" t="str">
        <f>Data!E20</f>
        <v>Storm</v>
      </c>
      <c r="L19" s="2" t="str">
        <f>IF(Data!$S$3&lt;Engine!L$1,0,Data!F20)</f>
        <v>Warriors</v>
      </c>
      <c r="M19" s="2" t="str">
        <f>IF(Data!$S$3&lt;Engine!M$1,0,Data!G20)</f>
        <v>Sharks</v>
      </c>
      <c r="N19" s="2" t="str">
        <f>IF(Data!$S$3&lt;Engine!N$1,0,Data!H20)</f>
        <v>Wests Tigers</v>
      </c>
      <c r="O19" s="2" t="str">
        <f>IF(Data!$S$3&lt;Engine!O$1,0,Data!I20)</f>
        <v>Eels</v>
      </c>
      <c r="P19" s="2" t="str">
        <f>IF(Data!$S$3&lt;Engine!P$1,0,Data!J20)</f>
        <v>Cowboys</v>
      </c>
      <c r="Q19" s="11" t="str">
        <f>IF(Data!B20=1,Data!K20,"No Tips")</f>
        <v>Bulldogs</v>
      </c>
      <c r="R19" s="2">
        <f>Data!L20</f>
        <v>11</v>
      </c>
      <c r="S19" s="2">
        <f>Data!M20</f>
        <v>479</v>
      </c>
      <c r="T19" s="1">
        <f>IF(I19="","",COUNTIF('Live Ladder'!P:P,I19)+COUNTIF('Live Ladder'!P:P,J19)+COUNTIF('Live Ladder'!P:P,K19)+COUNTIF('Live Ladder'!P:P,L19)+COUNTIF('Live Ladder'!P:P,M19)+COUNTIF('Live Ladder'!P:P,N19)+COUNTIF('Live Ladder'!P:P,O19)+COUNTIF('Live Ladder'!P:P,P19))</f>
        <v>2</v>
      </c>
      <c r="U19" s="1">
        <f>IF(I19="","",IF(COUNTIF('Live Ladder'!P:P,Engine!Q19)=1,2,IF(COUNTIF('Live Ladder'!Q:Q,Engine!Q19)=1,-2,0)))</f>
        <v>2</v>
      </c>
      <c r="V19" s="1">
        <f>IF(I19="","",IF(T19=Data!S$3,2,0))</f>
        <v>0</v>
      </c>
      <c r="W19" s="1">
        <f t="shared" si="11"/>
        <v>4</v>
      </c>
      <c r="X19" s="1">
        <f>IF(I19="",AE$2,IF(I19='Live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68</v>
      </c>
      <c r="Y19">
        <f t="shared" si="15"/>
        <v>15</v>
      </c>
      <c r="Z19">
        <f t="shared" si="12"/>
        <v>547</v>
      </c>
      <c r="AA19" s="111">
        <f t="shared" si="13"/>
        <v>15.005470076</v>
      </c>
      <c r="AB19">
        <f t="shared" si="6"/>
        <v>4</v>
      </c>
      <c r="AC19">
        <f>IF(I19="","",IF(I19='Live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68</v>
      </c>
      <c r="AF19">
        <f>IF(I19="","",IF(Q19="",0,IF(AND(Q19&gt;0,COUNTIF('Stats Calculator'!$T$24:$AA$24,Q19)=1),HLOOKUP(Q19,'Stats Calculator'!$T$24:$AA$27,4,FALSE),IF(AND(Q19&gt;0,COUNTIF('Stats Calculator'!$T$25:$AA$25,Q19)=1),HLOOKUP(Q19,'Stats Calculator'!$T$25:$AA$27,3,FALSE)))))</f>
        <v>1</v>
      </c>
      <c r="AG19">
        <f>IF(I19="","",COUNTIF(I19,'Stats Calculator'!E$31)+COUNTIF(J19,'Stats Calculator'!E$32)+COUNTIF(K19,'Stats Calculator'!E$33)+COUNTIF(L19,'Stats Calculator'!E$34)+COUNTIF(M19,'Stats Calculator'!E$35)+COUNTIF(N19,'Stats Calculator'!E$36)+COUNTIF(O19,'Stats Calculator'!E$37)+COUNTIF(P19,'Stats Calculator'!E$38)-8+Data!S$3)</f>
        <v>2</v>
      </c>
      <c r="AH19">
        <f>IF(I19="","",IF(Q19="",0,IF(Q19=0,0,IF(VLOOKUP(Engine!AF19,'Stats Calculator'!B$31:E$38,4,FALSE)="",0,IF(VLOOKUP(Engine!AF19,'Stats Calculator'!B$31:E$38,4,FALSE)=Q19,2,-2)))))</f>
        <v>2</v>
      </c>
      <c r="AI19">
        <f>IF(I19="","",Data!S$3-COUNTA('Stats Calculator'!E$31:E$38))</f>
        <v>5</v>
      </c>
      <c r="AJ19">
        <f>IF(I19="","",IF(AF19=0,0,IF(VLOOKUP(AF19,'Stats Calculator'!B$31:E$38,4,FALSE)&gt;0,0,2)))</f>
        <v>0</v>
      </c>
      <c r="AK19">
        <f>IF(I19="","",IF(Data!S$3-Engine!AI19=AG19,2,0))</f>
        <v>0</v>
      </c>
      <c r="AL19">
        <f t="shared" si="14"/>
        <v>9</v>
      </c>
    </row>
    <row r="20" spans="1:38" x14ac:dyDescent="0.35">
      <c r="A20">
        <v>19</v>
      </c>
      <c r="B20">
        <f t="shared" si="0"/>
        <v>47</v>
      </c>
      <c r="C20" s="111">
        <f t="shared" si="8"/>
        <v>5.0045700750000002</v>
      </c>
      <c r="D20">
        <f t="shared" si="1"/>
        <v>48</v>
      </c>
      <c r="E20" s="3" t="str">
        <f t="shared" si="9"/>
        <v>q</v>
      </c>
      <c r="F20">
        <f t="shared" si="10"/>
        <v>1</v>
      </c>
      <c r="G20">
        <v>75</v>
      </c>
      <c r="H20" t="str">
        <f>Data!A21</f>
        <v>Krusty</v>
      </c>
      <c r="I20" s="2" t="str">
        <f>Data!C21</f>
        <v>Raiders</v>
      </c>
      <c r="J20" s="2" t="str">
        <f>Data!D21</f>
        <v>Panthers</v>
      </c>
      <c r="K20" s="2" t="str">
        <f>Data!E21</f>
        <v>Storm</v>
      </c>
      <c r="L20" s="2" t="str">
        <f>IF(Data!$S$3&lt;Engine!L$1,0,Data!F21)</f>
        <v>Warriors</v>
      </c>
      <c r="M20" s="2" t="str">
        <f>IF(Data!$S$3&lt;Engine!M$1,0,Data!G21)</f>
        <v>Sharks</v>
      </c>
      <c r="N20" s="2" t="str">
        <f>IF(Data!$S$3&lt;Engine!N$1,0,Data!H21)</f>
        <v>Rabbitohs</v>
      </c>
      <c r="O20" s="2" t="str">
        <f>IF(Data!$S$3&lt;Engine!O$1,0,Data!I21)</f>
        <v>Dragons</v>
      </c>
      <c r="P20" s="2" t="str">
        <f>IF(Data!$S$3&lt;Engine!P$1,0,Data!J21)</f>
        <v>Cowboys</v>
      </c>
      <c r="Q20" s="11" t="str">
        <f>IF(Data!B21=1,Data!K21,"No Tips")</f>
        <v>Storm</v>
      </c>
      <c r="R20" s="2">
        <f>Data!L21</f>
        <v>5</v>
      </c>
      <c r="S20" s="2">
        <f>Data!M21</f>
        <v>457</v>
      </c>
      <c r="T20" s="1">
        <f>IF(I20="","",COUNTIF('Live Ladder'!P:P,I20)+COUNTIF('Live Ladder'!P:P,J20)+COUNTIF('Live Ladder'!P:P,K20)+COUNTIF('Live Ladder'!P:P,L20)+COUNTIF('Live Ladder'!P:P,M20)+COUNTIF('Live Ladder'!P:P,N20)+COUNTIF('Live Ladder'!P:P,O20)+COUNTIF('Live Ladder'!P:P,P20))</f>
        <v>1</v>
      </c>
      <c r="U20" s="1">
        <f>IF(I20="","",IF(COUNTIF('Live Ladder'!P:P,Engine!Q20)=1,2,IF(COUNTIF('Live Ladder'!Q:Q,Engine!Q20)=1,-2,0)))</f>
        <v>-2</v>
      </c>
      <c r="V20" s="1">
        <f>IF(I20="","",IF(T20=Data!S$3,2,0))</f>
        <v>0</v>
      </c>
      <c r="W20" s="1">
        <f t="shared" si="11"/>
        <v>-1</v>
      </c>
      <c r="X20" s="1">
        <f>IF(I20="",AE$2,IF(I20='Live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64</v>
      </c>
      <c r="Y20">
        <f t="shared" si="15"/>
        <v>4</v>
      </c>
      <c r="Z20">
        <f t="shared" si="12"/>
        <v>521</v>
      </c>
      <c r="AA20" s="111">
        <f t="shared" si="13"/>
        <v>4.0052100749999999</v>
      </c>
      <c r="AB20">
        <f t="shared" si="6"/>
        <v>-1</v>
      </c>
      <c r="AC20">
        <f>IF(I20="","",IF(I20='Live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64</v>
      </c>
      <c r="AF20">
        <f>IF(I20="","",IF(Q20="",0,IF(AND(Q20&gt;0,COUNTIF('Stats Calculator'!$T$24:$AA$24,Q20)=1),HLOOKUP(Q20,'Stats Calculator'!$T$24:$AA$27,4,FALSE),IF(AND(Q20&gt;0,COUNTIF('Stats Calculator'!$T$25:$AA$25,Q20)=1),HLOOKUP(Q20,'Stats Calculator'!$T$25:$AA$27,3,FALSE)))))</f>
        <v>3</v>
      </c>
      <c r="AG20">
        <f>IF(I20="","",COUNTIF(I20,'Stats Calculator'!E$31)+COUNTIF(J20,'Stats Calculator'!E$32)+COUNTIF(K20,'Stats Calculator'!E$33)+COUNTIF(L20,'Stats Calculator'!E$34)+COUNTIF(M20,'Stats Calculator'!E$35)+COUNTIF(N20,'Stats Calculator'!E$36)+COUNTIF(O20,'Stats Calculator'!E$37)+COUNTIF(P20,'Stats Calculator'!E$38)-8+Data!S$3)</f>
        <v>1</v>
      </c>
      <c r="AH20">
        <f>IF(I20="","",IF(Q20="",0,IF(Q20=0,0,IF(VLOOKUP(Engine!AF20,'Stats Calculator'!B$31:E$38,4,FALSE)="",0,IF(VLOOKUP(Engine!AF20,'Stats Calculator'!B$31:E$38,4,FALSE)=Q20,2,-2)))))</f>
        <v>-2</v>
      </c>
      <c r="AI20">
        <f>IF(I20="","",Data!S$3-COUNTA('Stats Calculator'!E$31:E$38))</f>
        <v>5</v>
      </c>
      <c r="AJ20">
        <f>IF(I20="","",IF(AF20=0,0,IF(VLOOKUP(AF20,'Stats Calculator'!B$31:E$38,4,FALSE)&gt;0,0,2)))</f>
        <v>0</v>
      </c>
      <c r="AK20">
        <f>IF(I20="","",IF(Data!S$3-Engine!AI20=AG20,2,0))</f>
        <v>0</v>
      </c>
      <c r="AL20">
        <f t="shared" si="14"/>
        <v>4</v>
      </c>
    </row>
    <row r="21" spans="1:38" x14ac:dyDescent="0.35">
      <c r="A21">
        <v>20</v>
      </c>
      <c r="B21">
        <f t="shared" si="0"/>
        <v>19</v>
      </c>
      <c r="C21" s="111">
        <f t="shared" si="8"/>
        <v>13.004420074</v>
      </c>
      <c r="D21">
        <f t="shared" si="1"/>
        <v>22</v>
      </c>
      <c r="E21" s="3" t="str">
        <f t="shared" si="9"/>
        <v>q</v>
      </c>
      <c r="F21">
        <f t="shared" si="10"/>
        <v>3</v>
      </c>
      <c r="G21">
        <v>74</v>
      </c>
      <c r="H21" t="str">
        <f>Data!A22</f>
        <v>Lou</v>
      </c>
      <c r="I21" s="2" t="str">
        <f>Data!C22</f>
        <v>Bulldogs</v>
      </c>
      <c r="J21" s="2" t="str">
        <f>Data!D22</f>
        <v>Panthers</v>
      </c>
      <c r="K21" s="2" t="str">
        <f>Data!E22</f>
        <v>Storm</v>
      </c>
      <c r="L21" s="2" t="str">
        <f>IF(Data!$S$3&lt;Engine!L$1,0,Data!F22)</f>
        <v>Knights</v>
      </c>
      <c r="M21" s="2" t="str">
        <f>IF(Data!$S$3&lt;Engine!M$1,0,Data!G22)</f>
        <v>Sharks</v>
      </c>
      <c r="N21" s="2" t="str">
        <f>IF(Data!$S$3&lt;Engine!N$1,0,Data!H22)</f>
        <v>Wests Tigers</v>
      </c>
      <c r="O21" s="2" t="str">
        <f>IF(Data!$S$3&lt;Engine!O$1,0,Data!I22)</f>
        <v>Eels</v>
      </c>
      <c r="P21" s="2" t="str">
        <f>IF(Data!$S$3&lt;Engine!P$1,0,Data!J22)</f>
        <v>Cowboys</v>
      </c>
      <c r="Q21" s="11" t="str">
        <f>IF(Data!B22=1,Data!K22,"No Tips")</f>
        <v>Storm</v>
      </c>
      <c r="R21" s="2">
        <f>Data!L22</f>
        <v>13</v>
      </c>
      <c r="S21" s="2">
        <f>Data!M22</f>
        <v>442</v>
      </c>
      <c r="T21" s="1">
        <f>IF(I21="","",COUNTIF('Live Ladder'!P:P,I21)+COUNTIF('Live Ladder'!P:P,J21)+COUNTIF('Live Ladder'!P:P,K21)+COUNTIF('Live Ladder'!P:P,L21)+COUNTIF('Live Ladder'!P:P,M21)+COUNTIF('Live Ladder'!P:P,N21)+COUNTIF('Live Ladder'!P:P,O21)+COUNTIF('Live Ladder'!P:P,P21))</f>
        <v>2</v>
      </c>
      <c r="U21" s="1">
        <f>IF(I21="","",IF(COUNTIF('Live Ladder'!P:P,Engine!Q21)=1,2,IF(COUNTIF('Live Ladder'!Q:Q,Engine!Q21)=1,-2,0)))</f>
        <v>-2</v>
      </c>
      <c r="V21" s="1">
        <f>IF(I21="","",IF(T21=Data!S$3,2,0))</f>
        <v>0</v>
      </c>
      <c r="W21" s="1">
        <f t="shared" si="11"/>
        <v>0</v>
      </c>
      <c r="X21" s="1">
        <f>IF(I21="",AE$2,IF(I21='Live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68</v>
      </c>
      <c r="Y21">
        <f t="shared" si="15"/>
        <v>13</v>
      </c>
      <c r="Z21">
        <f t="shared" si="12"/>
        <v>510</v>
      </c>
      <c r="AA21" s="111">
        <f t="shared" si="13"/>
        <v>13.005100074000001</v>
      </c>
      <c r="AB21">
        <f t="shared" si="6"/>
        <v>0</v>
      </c>
      <c r="AC21">
        <f>IF(I21="","",IF(I21='Live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68</v>
      </c>
      <c r="AF21">
        <f>IF(I21="","",IF(Q21="",0,IF(AND(Q21&gt;0,COUNTIF('Stats Calculator'!$T$24:$AA$24,Q21)=1),HLOOKUP(Q21,'Stats Calculator'!$T$24:$AA$27,4,FALSE),IF(AND(Q21&gt;0,COUNTIF('Stats Calculator'!$T$25:$AA$25,Q21)=1),HLOOKUP(Q21,'Stats Calculator'!$T$25:$AA$27,3,FALSE)))))</f>
        <v>3</v>
      </c>
      <c r="AG21">
        <f>IF(I21="","",COUNTIF(I21,'Stats Calculator'!E$31)+COUNTIF(J21,'Stats Calculator'!E$32)+COUNTIF(K21,'Stats Calculator'!E$33)+COUNTIF(L21,'Stats Calculator'!E$34)+COUNTIF(M21,'Stats Calculator'!E$35)+COUNTIF(N21,'Stats Calculator'!E$36)+COUNTIF(O21,'Stats Calculator'!E$37)+COUNTIF(P21,'Stats Calculator'!E$38)-8+Data!S$3)</f>
        <v>2</v>
      </c>
      <c r="AH21">
        <f>IF(I21="","",IF(Q21="",0,IF(Q21=0,0,IF(VLOOKUP(Engine!AF21,'Stats Calculator'!B$31:E$38,4,FALSE)="",0,IF(VLOOKUP(Engine!AF21,'Stats Calculator'!B$31:E$38,4,FALSE)=Q21,2,-2)))))</f>
        <v>-2</v>
      </c>
      <c r="AI21">
        <f>IF(I21="","",Data!S$3-COUNTA('Stats Calculator'!E$31:E$38))</f>
        <v>5</v>
      </c>
      <c r="AJ21">
        <f>IF(I21="","",IF(AF21=0,0,IF(VLOOKUP(AF21,'Stats Calculator'!B$31:E$38,4,FALSE)&gt;0,0,2)))</f>
        <v>0</v>
      </c>
      <c r="AK21">
        <f>IF(I21="","",IF(Data!S$3-Engine!AI21=AG21,2,0))</f>
        <v>0</v>
      </c>
      <c r="AL21">
        <f t="shared" si="14"/>
        <v>5</v>
      </c>
    </row>
    <row r="22" spans="1:38" x14ac:dyDescent="0.35">
      <c r="A22">
        <v>21</v>
      </c>
      <c r="B22">
        <f t="shared" si="0"/>
        <v>5</v>
      </c>
      <c r="C22" s="111">
        <f t="shared" si="8"/>
        <v>15.004880073000001</v>
      </c>
      <c r="D22">
        <f t="shared" si="1"/>
        <v>14</v>
      </c>
      <c r="E22" s="3" t="str">
        <f t="shared" si="9"/>
        <v>q</v>
      </c>
      <c r="F22">
        <f t="shared" si="10"/>
        <v>9</v>
      </c>
      <c r="G22">
        <v>73</v>
      </c>
      <c r="H22" t="str">
        <f>Data!A23</f>
        <v>Lukebrooksbiggestfan</v>
      </c>
      <c r="I22" s="2" t="str">
        <f>Data!C23</f>
        <v>Raiders</v>
      </c>
      <c r="J22" s="2" t="str">
        <f>Data!D23</f>
        <v>Panthers</v>
      </c>
      <c r="K22" s="2" t="str">
        <f>Data!E23</f>
        <v>Storm</v>
      </c>
      <c r="L22" s="2" t="str">
        <f>IF(Data!$S$3&lt;Engine!L$1,0,Data!F23)</f>
        <v>Knights</v>
      </c>
      <c r="M22" s="2" t="str">
        <f>IF(Data!$S$3&lt;Engine!M$1,0,Data!G23)</f>
        <v>Sharks</v>
      </c>
      <c r="N22" s="2" t="str">
        <f>IF(Data!$S$3&lt;Engine!N$1,0,Data!H23)</f>
        <v>Wests Tigers</v>
      </c>
      <c r="O22" s="2" t="str">
        <f>IF(Data!$S$3&lt;Engine!O$1,0,Data!I23)</f>
        <v>Eels</v>
      </c>
      <c r="P22" s="2" t="str">
        <f>IF(Data!$S$3&lt;Engine!P$1,0,Data!J23)</f>
        <v>Titans</v>
      </c>
      <c r="Q22" s="11" t="str">
        <f>IF(Data!B23=1,Data!K23,"No Tips")</f>
        <v>Storm</v>
      </c>
      <c r="R22" s="2">
        <f>Data!L23</f>
        <v>15</v>
      </c>
      <c r="S22" s="2">
        <f>Data!M23</f>
        <v>488</v>
      </c>
      <c r="T22" s="1">
        <f>IF(I22="","",COUNTIF('Live Ladder'!P:P,I22)+COUNTIF('Live Ladder'!P:P,J22)+COUNTIF('Live Ladder'!P:P,K22)+COUNTIF('Live Ladder'!P:P,L22)+COUNTIF('Live Ladder'!P:P,M22)+COUNTIF('Live Ladder'!P:P,N22)+COUNTIF('Live Ladder'!P:P,O22)+COUNTIF('Live Ladder'!P:P,P22))</f>
        <v>1</v>
      </c>
      <c r="U22" s="1">
        <f>IF(I22="","",IF(COUNTIF('Live Ladder'!P:P,Engine!Q22)=1,2,IF(COUNTIF('Live Ladder'!Q:Q,Engine!Q22)=1,-2,0)))</f>
        <v>-2</v>
      </c>
      <c r="V22" s="1">
        <f>IF(I22="","",IF(T22=Data!S$3,2,0))</f>
        <v>0</v>
      </c>
      <c r="W22" s="1">
        <f t="shared" si="11"/>
        <v>-1</v>
      </c>
      <c r="X22" s="1">
        <f>IF(I22="",AE$2,IF(I22='Live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64</v>
      </c>
      <c r="Y22">
        <f t="shared" si="15"/>
        <v>14</v>
      </c>
      <c r="Z22">
        <f t="shared" si="12"/>
        <v>552</v>
      </c>
      <c r="AA22" s="111">
        <f t="shared" si="13"/>
        <v>14.005520073000001</v>
      </c>
      <c r="AB22">
        <f t="shared" si="6"/>
        <v>-1</v>
      </c>
      <c r="AC22">
        <f>IF(I22="","",IF(I22='Live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64</v>
      </c>
      <c r="AF22">
        <f>IF(I22="","",IF(Q22="",0,IF(AND(Q22&gt;0,COUNTIF('Stats Calculator'!$T$24:$AA$24,Q22)=1),HLOOKUP(Q22,'Stats Calculator'!$T$24:$AA$27,4,FALSE),IF(AND(Q22&gt;0,COUNTIF('Stats Calculator'!$T$25:$AA$25,Q22)=1),HLOOKUP(Q22,'Stats Calculator'!$T$25:$AA$27,3,FALSE)))))</f>
        <v>3</v>
      </c>
      <c r="AG22">
        <f>IF(I22="","",COUNTIF(I22,'Stats Calculator'!E$31)+COUNTIF(J22,'Stats Calculator'!E$32)+COUNTIF(K22,'Stats Calculator'!E$33)+COUNTIF(L22,'Stats Calculator'!E$34)+COUNTIF(M22,'Stats Calculator'!E$35)+COUNTIF(N22,'Stats Calculator'!E$36)+COUNTIF(O22,'Stats Calculator'!E$37)+COUNTIF(P22,'Stats Calculator'!E$38)-8+Data!S$3)</f>
        <v>1</v>
      </c>
      <c r="AH22">
        <f>IF(I22="","",IF(Q22="",0,IF(Q22=0,0,IF(VLOOKUP(Engine!AF22,'Stats Calculator'!B$31:E$38,4,FALSE)="",0,IF(VLOOKUP(Engine!AF22,'Stats Calculator'!B$31:E$38,4,FALSE)=Q22,2,-2)))))</f>
        <v>-2</v>
      </c>
      <c r="AI22">
        <f>IF(I22="","",Data!S$3-COUNTA('Stats Calculator'!E$31:E$38))</f>
        <v>5</v>
      </c>
      <c r="AJ22">
        <f>IF(I22="","",IF(AF22=0,0,IF(VLOOKUP(AF22,'Stats Calculator'!B$31:E$38,4,FALSE)&gt;0,0,2)))</f>
        <v>0</v>
      </c>
      <c r="AK22">
        <f>IF(I22="","",IF(Data!S$3-Engine!AI22=AG22,2,0))</f>
        <v>0</v>
      </c>
      <c r="AL22">
        <f t="shared" si="14"/>
        <v>4</v>
      </c>
    </row>
    <row r="23" spans="1:38" x14ac:dyDescent="0.35">
      <c r="A23">
        <v>22</v>
      </c>
      <c r="B23">
        <f t="shared" si="0"/>
        <v>18</v>
      </c>
      <c r="C23" s="111">
        <f t="shared" si="8"/>
        <v>13.004520072</v>
      </c>
      <c r="D23">
        <f t="shared" si="1"/>
        <v>17</v>
      </c>
      <c r="E23" s="3" t="str">
        <f t="shared" si="9"/>
        <v>p</v>
      </c>
      <c r="F23">
        <f t="shared" si="10"/>
        <v>1</v>
      </c>
      <c r="G23">
        <v>72</v>
      </c>
      <c r="H23" t="str">
        <f>Data!A24</f>
        <v>Magnum</v>
      </c>
      <c r="I23" s="2" t="str">
        <f>Data!C24</f>
        <v>Raiders</v>
      </c>
      <c r="J23" s="2" t="str">
        <f>Data!D24</f>
        <v>Panthers</v>
      </c>
      <c r="K23" s="2" t="str">
        <f>Data!E24</f>
        <v>Storm</v>
      </c>
      <c r="L23" s="2" t="str">
        <f>IF(Data!$S$3&lt;Engine!L$1,0,Data!F24)</f>
        <v>Warriors</v>
      </c>
      <c r="M23" s="2" t="str">
        <f>IF(Data!$S$3&lt;Engine!M$1,0,Data!G24)</f>
        <v>Sharks</v>
      </c>
      <c r="N23" s="2" t="str">
        <f>IF(Data!$S$3&lt;Engine!N$1,0,Data!H24)</f>
        <v>Rabbitohs</v>
      </c>
      <c r="O23" s="2" t="str">
        <f>IF(Data!$S$3&lt;Engine!O$1,0,Data!I24)</f>
        <v>Eels</v>
      </c>
      <c r="P23" s="2" t="str">
        <f>IF(Data!$S$3&lt;Engine!P$1,0,Data!J24)</f>
        <v>Cowboys</v>
      </c>
      <c r="Q23" s="11" t="str">
        <f>IF(Data!B24=1,Data!K24,"No Tips")</f>
        <v>Cowboys</v>
      </c>
      <c r="R23" s="2">
        <f>Data!L24</f>
        <v>13</v>
      </c>
      <c r="S23" s="2">
        <f>Data!M24</f>
        <v>452</v>
      </c>
      <c r="T23" s="1">
        <f>IF(I23="","",COUNTIF('Live Ladder'!P:P,I23)+COUNTIF('Live Ladder'!P:P,J23)+COUNTIF('Live Ladder'!P:P,K23)+COUNTIF('Live Ladder'!P:P,L23)+COUNTIF('Live Ladder'!P:P,M23)+COUNTIF('Live Ladder'!P:P,N23)+COUNTIF('Live Ladder'!P:P,O23)+COUNTIF('Live Ladder'!P:P,P23))</f>
        <v>1</v>
      </c>
      <c r="U23" s="1">
        <f>IF(I23="","",IF(COUNTIF('Live Ladder'!P:P,Engine!Q23)=1,2,IF(COUNTIF('Live Ladder'!Q:Q,Engine!Q23)=1,-2,0)))</f>
        <v>0</v>
      </c>
      <c r="V23" s="1">
        <f>IF(I23="","",IF(T23=Data!S$3,2,0))</f>
        <v>0</v>
      </c>
      <c r="W23" s="1">
        <f t="shared" si="11"/>
        <v>1</v>
      </c>
      <c r="X23" s="1">
        <f>IF(I23="",AE$2,IF(I23='Live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64</v>
      </c>
      <c r="Y23">
        <f t="shared" si="15"/>
        <v>14</v>
      </c>
      <c r="Z23">
        <f t="shared" si="12"/>
        <v>516</v>
      </c>
      <c r="AA23" s="111">
        <f t="shared" si="13"/>
        <v>14.005160072000001</v>
      </c>
      <c r="AB23">
        <f t="shared" si="6"/>
        <v>1</v>
      </c>
      <c r="AC23">
        <f>IF(I23="","",IF(I23='Live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64</v>
      </c>
      <c r="AF23">
        <f>IF(I23="","",IF(Q23="",0,IF(AND(Q23&gt;0,COUNTIF('Stats Calculator'!$T$24:$AA$24,Q23)=1),HLOOKUP(Q23,'Stats Calculator'!$T$24:$AA$27,4,FALSE),IF(AND(Q23&gt;0,COUNTIF('Stats Calculator'!$T$25:$AA$25,Q23)=1),HLOOKUP(Q23,'Stats Calculator'!$T$25:$AA$27,3,FALSE)))))</f>
        <v>8</v>
      </c>
      <c r="AG23">
        <f>IF(I23="","",COUNTIF(I23,'Stats Calculator'!E$31)+COUNTIF(J23,'Stats Calculator'!E$32)+COUNTIF(K23,'Stats Calculator'!E$33)+COUNTIF(L23,'Stats Calculator'!E$34)+COUNTIF(M23,'Stats Calculator'!E$35)+COUNTIF(N23,'Stats Calculator'!E$36)+COUNTIF(O23,'Stats Calculator'!E$37)+COUNTIF(P23,'Stats Calculator'!E$38)-8+Data!S$3)</f>
        <v>1</v>
      </c>
      <c r="AH23">
        <f>IF(I23="","",IF(Q23="",0,IF(Q23=0,0,IF(VLOOKUP(Engine!AF23,'Stats Calculator'!B$31:E$38,4,FALSE)="",0,IF(VLOOKUP(Engine!AF23,'Stats Calculator'!B$31:E$38,4,FALSE)=Q23,2,-2)))))</f>
        <v>0</v>
      </c>
      <c r="AI23">
        <f>IF(I23="","",Data!S$3-COUNTA('Stats Calculator'!E$31:E$38))</f>
        <v>5</v>
      </c>
      <c r="AJ23">
        <f>IF(I23="","",IF(AF23=0,0,IF(VLOOKUP(AF23,'Stats Calculator'!B$31:E$38,4,FALSE)&gt;0,0,2)))</f>
        <v>2</v>
      </c>
      <c r="AK23">
        <f>IF(I23="","",IF(Data!S$3-Engine!AI23=AG23,2,0))</f>
        <v>0</v>
      </c>
      <c r="AL23">
        <f t="shared" si="14"/>
        <v>8</v>
      </c>
    </row>
    <row r="24" spans="1:38" x14ac:dyDescent="0.35">
      <c r="A24">
        <v>23</v>
      </c>
      <c r="B24">
        <f t="shared" si="0"/>
        <v>36</v>
      </c>
      <c r="C24" s="111">
        <f t="shared" si="8"/>
        <v>10.004600071</v>
      </c>
      <c r="D24">
        <f t="shared" si="1"/>
        <v>42</v>
      </c>
      <c r="E24" s="3" t="str">
        <f t="shared" si="9"/>
        <v>q</v>
      </c>
      <c r="F24">
        <f t="shared" si="10"/>
        <v>6</v>
      </c>
      <c r="G24">
        <v>71</v>
      </c>
      <c r="H24" t="str">
        <f>Data!A25</f>
        <v>Matt Brownie</v>
      </c>
      <c r="I24" s="2" t="str">
        <f>Data!C25</f>
        <v>Raiders</v>
      </c>
      <c r="J24" s="2" t="str">
        <f>Data!D25</f>
        <v>Panthers</v>
      </c>
      <c r="K24" s="2" t="str">
        <f>Data!E25</f>
        <v>Storm</v>
      </c>
      <c r="L24" s="2" t="str">
        <f>IF(Data!$S$3&lt;Engine!L$1,0,Data!F25)</f>
        <v>Knights</v>
      </c>
      <c r="M24" s="2" t="str">
        <f>IF(Data!$S$3&lt;Engine!M$1,0,Data!G25)</f>
        <v>Sharks</v>
      </c>
      <c r="N24" s="2" t="str">
        <f>IF(Data!$S$3&lt;Engine!N$1,0,Data!H25)</f>
        <v>Rabbitohs</v>
      </c>
      <c r="O24" s="2" t="str">
        <f>IF(Data!$S$3&lt;Engine!O$1,0,Data!I25)</f>
        <v>Eels</v>
      </c>
      <c r="P24" s="2" t="str">
        <f>IF(Data!$S$3&lt;Engine!P$1,0,Data!J25)</f>
        <v>Cowboys</v>
      </c>
      <c r="Q24" s="11" t="str">
        <f>IF(Data!B25=1,Data!K25,"No Tips")</f>
        <v>Storm</v>
      </c>
      <c r="R24" s="2">
        <f>Data!L25</f>
        <v>10</v>
      </c>
      <c r="S24" s="2">
        <f>Data!M25</f>
        <v>460</v>
      </c>
      <c r="T24" s="1">
        <f>IF(I24="","",COUNTIF('Live Ladder'!P:P,I24)+COUNTIF('Live Ladder'!P:P,J24)+COUNTIF('Live Ladder'!P:P,K24)+COUNTIF('Live Ladder'!P:P,L24)+COUNTIF('Live Ladder'!P:P,M24)+COUNTIF('Live Ladder'!P:P,N24)+COUNTIF('Live Ladder'!P:P,O24)+COUNTIF('Live Ladder'!P:P,P24))</f>
        <v>1</v>
      </c>
      <c r="U24" s="1">
        <f>IF(I24="","",IF(COUNTIF('Live Ladder'!P:P,Engine!Q24)=1,2,IF(COUNTIF('Live Ladder'!Q:Q,Engine!Q24)=1,-2,0)))</f>
        <v>-2</v>
      </c>
      <c r="V24" s="1">
        <f>IF(I24="","",IF(T24=Data!S$3,2,0))</f>
        <v>0</v>
      </c>
      <c r="W24" s="1">
        <f t="shared" si="11"/>
        <v>-1</v>
      </c>
      <c r="X24" s="1">
        <f>IF(I24="",AE$2,IF(I24='Live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64</v>
      </c>
      <c r="Y24">
        <f t="shared" si="15"/>
        <v>9</v>
      </c>
      <c r="Z24">
        <f t="shared" si="12"/>
        <v>524</v>
      </c>
      <c r="AA24" s="111">
        <f t="shared" si="13"/>
        <v>9.0052400710000011</v>
      </c>
      <c r="AB24">
        <f t="shared" si="6"/>
        <v>-1</v>
      </c>
      <c r="AC24">
        <f>IF(I24="","",IF(I24='Live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64</v>
      </c>
      <c r="AF24">
        <f>IF(I24="","",IF(Q24="",0,IF(AND(Q24&gt;0,COUNTIF('Stats Calculator'!$T$24:$AA$24,Q24)=1),HLOOKUP(Q24,'Stats Calculator'!$T$24:$AA$27,4,FALSE),IF(AND(Q24&gt;0,COUNTIF('Stats Calculator'!$T$25:$AA$25,Q24)=1),HLOOKUP(Q24,'Stats Calculator'!$T$25:$AA$27,3,FALSE)))))</f>
        <v>3</v>
      </c>
      <c r="AG24">
        <f>IF(I24="","",COUNTIF(I24,'Stats Calculator'!E$31)+COUNTIF(J24,'Stats Calculator'!E$32)+COUNTIF(K24,'Stats Calculator'!E$33)+COUNTIF(L24,'Stats Calculator'!E$34)+COUNTIF(M24,'Stats Calculator'!E$35)+COUNTIF(N24,'Stats Calculator'!E$36)+COUNTIF(O24,'Stats Calculator'!E$37)+COUNTIF(P24,'Stats Calculator'!E$38)-8+Data!S$3)</f>
        <v>1</v>
      </c>
      <c r="AH24">
        <f>IF(I24="","",IF(Q24="",0,IF(Q24=0,0,IF(VLOOKUP(Engine!AF24,'Stats Calculator'!B$31:E$38,4,FALSE)="",0,IF(VLOOKUP(Engine!AF24,'Stats Calculator'!B$31:E$38,4,FALSE)=Q24,2,-2)))))</f>
        <v>-2</v>
      </c>
      <c r="AI24">
        <f>IF(I24="","",Data!S$3-COUNTA('Stats Calculator'!E$31:E$38))</f>
        <v>5</v>
      </c>
      <c r="AJ24">
        <f>IF(I24="","",IF(AF24=0,0,IF(VLOOKUP(AF24,'Stats Calculator'!B$31:E$38,4,FALSE)&gt;0,0,2)))</f>
        <v>0</v>
      </c>
      <c r="AK24">
        <f>IF(I24="","",IF(Data!S$3-Engine!AI24=AG24,2,0))</f>
        <v>0</v>
      </c>
      <c r="AL24">
        <f t="shared" si="14"/>
        <v>4</v>
      </c>
    </row>
    <row r="25" spans="1:38" x14ac:dyDescent="0.35">
      <c r="A25">
        <v>24</v>
      </c>
      <c r="B25">
        <f t="shared" si="0"/>
        <v>28</v>
      </c>
      <c r="C25" s="111">
        <f t="shared" si="8"/>
        <v>12.004250070000001</v>
      </c>
      <c r="D25">
        <f t="shared" si="1"/>
        <v>25</v>
      </c>
      <c r="E25" s="3" t="str">
        <f t="shared" si="9"/>
        <v>p</v>
      </c>
      <c r="F25">
        <f t="shared" si="10"/>
        <v>3</v>
      </c>
      <c r="G25">
        <v>70</v>
      </c>
      <c r="H25" t="str">
        <f>Data!A26</f>
        <v>MB</v>
      </c>
      <c r="I25" s="2" t="str">
        <f>Data!C26</f>
        <v>Raiders</v>
      </c>
      <c r="J25" s="2" t="str">
        <f>Data!D26</f>
        <v>Panthers</v>
      </c>
      <c r="K25" s="2" t="str">
        <f>Data!E26</f>
        <v>Storm</v>
      </c>
      <c r="L25" s="2" t="str">
        <f>IF(Data!$S$3&lt;Engine!L$1,0,Data!F26)</f>
        <v>Warriors</v>
      </c>
      <c r="M25" s="2" t="str">
        <f>IF(Data!$S$3&lt;Engine!M$1,0,Data!G26)</f>
        <v>Sharks</v>
      </c>
      <c r="N25" s="2" t="str">
        <f>IF(Data!$S$3&lt;Engine!N$1,0,Data!H26)</f>
        <v>Rabbitohs</v>
      </c>
      <c r="O25" s="2" t="str">
        <f>IF(Data!$S$3&lt;Engine!O$1,0,Data!I26)</f>
        <v>Eels</v>
      </c>
      <c r="P25" s="2" t="str">
        <f>IF(Data!$S$3&lt;Engine!P$1,0,Data!J26)</f>
        <v>Cowboys</v>
      </c>
      <c r="Q25" s="11" t="str">
        <f>IF(Data!B26=1,Data!K26,"No Tips")</f>
        <v>Sharks</v>
      </c>
      <c r="R25" s="2">
        <f>Data!L26</f>
        <v>12</v>
      </c>
      <c r="S25" s="2">
        <f>Data!M26</f>
        <v>425</v>
      </c>
      <c r="T25" s="1">
        <f>IF(I25="","",COUNTIF('Live Ladder'!P:P,I25)+COUNTIF('Live Ladder'!P:P,J25)+COUNTIF('Live Ladder'!P:P,K25)+COUNTIF('Live Ladder'!P:P,L25)+COUNTIF('Live Ladder'!P:P,M25)+COUNTIF('Live Ladder'!P:P,N25)+COUNTIF('Live Ladder'!P:P,O25)+COUNTIF('Live Ladder'!P:P,P25))</f>
        <v>1</v>
      </c>
      <c r="U25" s="1">
        <f>IF(I25="","",IF(COUNTIF('Live Ladder'!P:P,Engine!Q25)=1,2,IF(COUNTIF('Live Ladder'!Q:Q,Engine!Q25)=1,-2,0)))</f>
        <v>0</v>
      </c>
      <c r="V25" s="1">
        <f>IF(I25="","",IF(T25=Data!S$3,2,0))</f>
        <v>0</v>
      </c>
      <c r="W25" s="1">
        <f t="shared" si="11"/>
        <v>1</v>
      </c>
      <c r="X25" s="1">
        <f>IF(I25="",AE$2,IF(I25='Live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64</v>
      </c>
      <c r="Y25">
        <f t="shared" si="15"/>
        <v>13</v>
      </c>
      <c r="Z25">
        <f t="shared" si="12"/>
        <v>489</v>
      </c>
      <c r="AA25" s="111">
        <f t="shared" si="13"/>
        <v>13.00489007</v>
      </c>
      <c r="AB25">
        <f t="shared" si="6"/>
        <v>1</v>
      </c>
      <c r="AC25">
        <f>IF(I25="","",IF(I25='Live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64</v>
      </c>
      <c r="AF25">
        <f>IF(I25="","",IF(Q25="",0,IF(AND(Q25&gt;0,COUNTIF('Stats Calculator'!$T$24:$AA$24,Q25)=1),HLOOKUP(Q25,'Stats Calculator'!$T$24:$AA$27,4,FALSE),IF(AND(Q25&gt;0,COUNTIF('Stats Calculator'!$T$25:$AA$25,Q25)=1),HLOOKUP(Q25,'Stats Calculator'!$T$25:$AA$27,3,FALSE)))))</f>
        <v>5</v>
      </c>
      <c r="AG25">
        <f>IF(I25="","",COUNTIF(I25,'Stats Calculator'!E$31)+COUNTIF(J25,'Stats Calculator'!E$32)+COUNTIF(K25,'Stats Calculator'!E$33)+COUNTIF(L25,'Stats Calculator'!E$34)+COUNTIF(M25,'Stats Calculator'!E$35)+COUNTIF(N25,'Stats Calculator'!E$36)+COUNTIF(O25,'Stats Calculator'!E$37)+COUNTIF(P25,'Stats Calculator'!E$38)-8+Data!S$3)</f>
        <v>1</v>
      </c>
      <c r="AH25">
        <f>IF(I25="","",IF(Q25="",0,IF(Q25=0,0,IF(VLOOKUP(Engine!AF25,'Stats Calculator'!B$31:E$38,4,FALSE)="",0,IF(VLOOKUP(Engine!AF25,'Stats Calculator'!B$31:E$38,4,FALSE)=Q25,2,-2)))))</f>
        <v>0</v>
      </c>
      <c r="AI25">
        <f>IF(I25="","",Data!S$3-COUNTA('Stats Calculator'!E$31:E$38))</f>
        <v>5</v>
      </c>
      <c r="AJ25">
        <f>IF(I25="","",IF(AF25=0,0,IF(VLOOKUP(AF25,'Stats Calculator'!B$31:E$38,4,FALSE)&gt;0,0,2)))</f>
        <v>2</v>
      </c>
      <c r="AK25">
        <f>IF(I25="","",IF(Data!S$3-Engine!AI25=AG25,2,0))</f>
        <v>0</v>
      </c>
      <c r="AL25">
        <f t="shared" si="14"/>
        <v>8</v>
      </c>
    </row>
    <row r="26" spans="1:38" x14ac:dyDescent="0.35">
      <c r="A26">
        <v>25</v>
      </c>
      <c r="B26">
        <f t="shared" si="0"/>
        <v>16</v>
      </c>
      <c r="C26" s="111">
        <f t="shared" si="8"/>
        <v>14.004100069</v>
      </c>
      <c r="D26">
        <f t="shared" si="1"/>
        <v>28</v>
      </c>
      <c r="E26" s="3" t="str">
        <f t="shared" si="9"/>
        <v>q</v>
      </c>
      <c r="F26">
        <f t="shared" si="10"/>
        <v>12</v>
      </c>
      <c r="G26">
        <v>69</v>
      </c>
      <c r="H26" t="str">
        <f>Data!A27</f>
        <v>Micrider</v>
      </c>
      <c r="I26" s="2" t="str">
        <f>Data!C27</f>
        <v>Raiders</v>
      </c>
      <c r="J26" s="2" t="str">
        <f>Data!D27</f>
        <v>Panthers</v>
      </c>
      <c r="K26" s="2" t="str">
        <f>Data!E27</f>
        <v>Storm</v>
      </c>
      <c r="L26" s="2" t="str">
        <f>IF(Data!$S$3&lt;Engine!L$1,0,Data!F27)</f>
        <v>Knights</v>
      </c>
      <c r="M26" s="2" t="str">
        <f>IF(Data!$S$3&lt;Engine!M$1,0,Data!G27)</f>
        <v>Sharks</v>
      </c>
      <c r="N26" s="2" t="str">
        <f>IF(Data!$S$3&lt;Engine!N$1,0,Data!H27)</f>
        <v>Wests Tigers</v>
      </c>
      <c r="O26" s="2" t="str">
        <f>IF(Data!$S$3&lt;Engine!O$1,0,Data!I27)</f>
        <v>Eels</v>
      </c>
      <c r="P26" s="2" t="str">
        <f>IF(Data!$S$3&lt;Engine!P$1,0,Data!J27)</f>
        <v>Cowboys</v>
      </c>
      <c r="Q26" s="11" t="str">
        <f>IF(Data!B27=1,Data!K27,"No Tips")</f>
        <v>Storm</v>
      </c>
      <c r="R26" s="2">
        <f>Data!L27</f>
        <v>14</v>
      </c>
      <c r="S26" s="2">
        <f>Data!M27</f>
        <v>410</v>
      </c>
      <c r="T26" s="1">
        <f>IF(I26="","",COUNTIF('Live Ladder'!P:P,I26)+COUNTIF('Live Ladder'!P:P,J26)+COUNTIF('Live Ladder'!P:P,K26)+COUNTIF('Live Ladder'!P:P,L26)+COUNTIF('Live Ladder'!P:P,M26)+COUNTIF('Live Ladder'!P:P,N26)+COUNTIF('Live Ladder'!P:P,O26)+COUNTIF('Live Ladder'!P:P,P26))</f>
        <v>1</v>
      </c>
      <c r="U26" s="1">
        <f>IF(I26="","",IF(COUNTIF('Live Ladder'!P:P,Engine!Q26)=1,2,IF(COUNTIF('Live Ladder'!Q:Q,Engine!Q26)=1,-2,0)))</f>
        <v>-2</v>
      </c>
      <c r="V26" s="1">
        <f>IF(I26="","",IF(T26=Data!S$3,2,0))</f>
        <v>0</v>
      </c>
      <c r="W26" s="1">
        <f t="shared" si="11"/>
        <v>-1</v>
      </c>
      <c r="X26" s="1">
        <f>IF(I26="",AE$2,IF(I26='Live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64</v>
      </c>
      <c r="Y26">
        <f t="shared" si="15"/>
        <v>13</v>
      </c>
      <c r="Z26">
        <f t="shared" si="12"/>
        <v>474</v>
      </c>
      <c r="AA26" s="111">
        <f t="shared" si="13"/>
        <v>13.004740069</v>
      </c>
      <c r="AB26">
        <f t="shared" si="6"/>
        <v>-1</v>
      </c>
      <c r="AC26">
        <f>IF(I26="","",IF(I26='Live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64</v>
      </c>
      <c r="AF26">
        <f>IF(I26="","",IF(Q26="",0,IF(AND(Q26&gt;0,COUNTIF('Stats Calculator'!$T$24:$AA$24,Q26)=1),HLOOKUP(Q26,'Stats Calculator'!$T$24:$AA$27,4,FALSE),IF(AND(Q26&gt;0,COUNTIF('Stats Calculator'!$T$25:$AA$25,Q26)=1),HLOOKUP(Q26,'Stats Calculator'!$T$25:$AA$27,3,FALSE)))))</f>
        <v>3</v>
      </c>
      <c r="AG26">
        <f>IF(I26="","",COUNTIF(I26,'Stats Calculator'!E$31)+COUNTIF(J26,'Stats Calculator'!E$32)+COUNTIF(K26,'Stats Calculator'!E$33)+COUNTIF(L26,'Stats Calculator'!E$34)+COUNTIF(M26,'Stats Calculator'!E$35)+COUNTIF(N26,'Stats Calculator'!E$36)+COUNTIF(O26,'Stats Calculator'!E$37)+COUNTIF(P26,'Stats Calculator'!E$38)-8+Data!S$3)</f>
        <v>1</v>
      </c>
      <c r="AH26">
        <f>IF(I26="","",IF(Q26="",0,IF(Q26=0,0,IF(VLOOKUP(Engine!AF26,'Stats Calculator'!B$31:E$38,4,FALSE)="",0,IF(VLOOKUP(Engine!AF26,'Stats Calculator'!B$31:E$38,4,FALSE)=Q26,2,-2)))))</f>
        <v>-2</v>
      </c>
      <c r="AI26">
        <f>IF(I26="","",Data!S$3-COUNTA('Stats Calculator'!E$31:E$38))</f>
        <v>5</v>
      </c>
      <c r="AJ26">
        <f>IF(I26="","",IF(AF26=0,0,IF(VLOOKUP(AF26,'Stats Calculator'!B$31:E$38,4,FALSE)&gt;0,0,2)))</f>
        <v>0</v>
      </c>
      <c r="AK26">
        <f>IF(I26="","",IF(Data!S$3-Engine!AI26=AG26,2,0))</f>
        <v>0</v>
      </c>
      <c r="AL26">
        <f t="shared" si="14"/>
        <v>4</v>
      </c>
    </row>
    <row r="27" spans="1:38" x14ac:dyDescent="0.35">
      <c r="A27">
        <v>26</v>
      </c>
      <c r="B27">
        <f t="shared" si="0"/>
        <v>22</v>
      </c>
      <c r="C27" s="111">
        <f t="shared" si="8"/>
        <v>13.004260068000001</v>
      </c>
      <c r="D27">
        <f t="shared" si="1"/>
        <v>13</v>
      </c>
      <c r="E27" s="3" t="str">
        <f t="shared" si="9"/>
        <v>p</v>
      </c>
      <c r="F27">
        <f t="shared" si="10"/>
        <v>9</v>
      </c>
      <c r="G27">
        <v>68</v>
      </c>
      <c r="H27" t="str">
        <f>Data!A28</f>
        <v>MJP181</v>
      </c>
      <c r="I27" s="2" t="str">
        <f>Data!C28</f>
        <v>Bulldogs</v>
      </c>
      <c r="J27" s="2" t="str">
        <f>Data!D28</f>
        <v>Panthers</v>
      </c>
      <c r="K27" s="2" t="str">
        <f>Data!E28</f>
        <v>Storm</v>
      </c>
      <c r="L27" s="2" t="str">
        <f>IF(Data!$S$3&lt;Engine!L$1,0,Data!F28)</f>
        <v>Warriors</v>
      </c>
      <c r="M27" s="2" t="str">
        <f>IF(Data!$S$3&lt;Engine!M$1,0,Data!G28)</f>
        <v>Sharks</v>
      </c>
      <c r="N27" s="2" t="str">
        <f>IF(Data!$S$3&lt;Engine!N$1,0,Data!H28)</f>
        <v>Rabbitohs</v>
      </c>
      <c r="O27" s="2" t="str">
        <f>IF(Data!$S$3&lt;Engine!O$1,0,Data!I28)</f>
        <v>Eels</v>
      </c>
      <c r="P27" s="2" t="str">
        <f>IF(Data!$S$3&lt;Engine!P$1,0,Data!J28)</f>
        <v>Cowboys</v>
      </c>
      <c r="Q27" s="11" t="str">
        <f>IF(Data!B28=1,Data!K28,"No Tips")</f>
        <v>Eels</v>
      </c>
      <c r="R27" s="2">
        <f>Data!L28</f>
        <v>13</v>
      </c>
      <c r="S27" s="2">
        <f>Data!M28</f>
        <v>426</v>
      </c>
      <c r="T27" s="1">
        <f>IF(I27="","",COUNTIF('Live Ladder'!P:P,I27)+COUNTIF('Live Ladder'!P:P,J27)+COUNTIF('Live Ladder'!P:P,K27)+COUNTIF('Live Ladder'!P:P,L27)+COUNTIF('Live Ladder'!P:P,M27)+COUNTIF('Live Ladder'!P:P,N27)+COUNTIF('Live Ladder'!P:P,O27)+COUNTIF('Live Ladder'!P:P,P27))</f>
        <v>2</v>
      </c>
      <c r="U27" s="1">
        <f>IF(I27="","",IF(COUNTIF('Live Ladder'!P:P,Engine!Q27)=1,2,IF(COUNTIF('Live Ladder'!Q:Q,Engine!Q27)=1,-2,0)))</f>
        <v>0</v>
      </c>
      <c r="V27" s="1">
        <f>IF(I27="","",IF(T27=Data!S$3,2,0))</f>
        <v>0</v>
      </c>
      <c r="W27" s="1">
        <f t="shared" si="11"/>
        <v>2</v>
      </c>
      <c r="X27" s="1">
        <f>IF(I27="",AE$2,IF(I27='Live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68</v>
      </c>
      <c r="Y27">
        <f t="shared" si="15"/>
        <v>15</v>
      </c>
      <c r="Z27">
        <f t="shared" si="12"/>
        <v>494</v>
      </c>
      <c r="AA27" s="111">
        <f t="shared" si="13"/>
        <v>15.004940068</v>
      </c>
      <c r="AB27">
        <f t="shared" si="6"/>
        <v>2</v>
      </c>
      <c r="AC27">
        <f>IF(I27="","",IF(I27='Live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68</v>
      </c>
      <c r="AF27">
        <f>IF(I27="","",IF(Q27="",0,IF(AND(Q27&gt;0,COUNTIF('Stats Calculator'!$T$24:$AA$24,Q27)=1),HLOOKUP(Q27,'Stats Calculator'!$T$24:$AA$27,4,FALSE),IF(AND(Q27&gt;0,COUNTIF('Stats Calculator'!$T$25:$AA$25,Q27)=1),HLOOKUP(Q27,'Stats Calculator'!$T$25:$AA$27,3,FALSE)))))</f>
        <v>7</v>
      </c>
      <c r="AG27">
        <f>IF(I27="","",COUNTIF(I27,'Stats Calculator'!E$31)+COUNTIF(J27,'Stats Calculator'!E$32)+COUNTIF(K27,'Stats Calculator'!E$33)+COUNTIF(L27,'Stats Calculator'!E$34)+COUNTIF(M27,'Stats Calculator'!E$35)+COUNTIF(N27,'Stats Calculator'!E$36)+COUNTIF(O27,'Stats Calculator'!E$37)+COUNTIF(P27,'Stats Calculator'!E$38)-8+Data!S$3)</f>
        <v>2</v>
      </c>
      <c r="AH27">
        <f>IF(I27="","",IF(Q27="",0,IF(Q27=0,0,IF(VLOOKUP(Engine!AF27,'Stats Calculator'!B$31:E$38,4,FALSE)="",0,IF(VLOOKUP(Engine!AF27,'Stats Calculator'!B$31:E$38,4,FALSE)=Q27,2,-2)))))</f>
        <v>0</v>
      </c>
      <c r="AI27">
        <f>IF(I27="","",Data!S$3-COUNTA('Stats Calculator'!E$31:E$38))</f>
        <v>5</v>
      </c>
      <c r="AJ27">
        <f>IF(I27="","",IF(AF27=0,0,IF(VLOOKUP(AF27,'Stats Calculator'!B$31:E$38,4,FALSE)&gt;0,0,2)))</f>
        <v>2</v>
      </c>
      <c r="AK27">
        <f>IF(I27="","",IF(Data!S$3-Engine!AI27=AG27,2,0))</f>
        <v>0</v>
      </c>
      <c r="AL27">
        <f t="shared" si="14"/>
        <v>9</v>
      </c>
    </row>
    <row r="28" spans="1:38" x14ac:dyDescent="0.35">
      <c r="A28">
        <v>27</v>
      </c>
      <c r="B28">
        <f t="shared" si="0"/>
        <v>51</v>
      </c>
      <c r="C28" s="111">
        <f t="shared" si="8"/>
        <v>3.1300669999999998E-3</v>
      </c>
      <c r="D28">
        <f t="shared" si="1"/>
        <v>51</v>
      </c>
      <c r="E28" s="3" t="str">
        <f t="shared" si="9"/>
        <v>u</v>
      </c>
      <c r="F28" t="str">
        <f t="shared" si="10"/>
        <v/>
      </c>
      <c r="G28">
        <v>67</v>
      </c>
      <c r="H28" t="str">
        <f>Data!A29</f>
        <v>MLC</v>
      </c>
      <c r="I28" s="2" t="str">
        <f>Data!C29</f>
        <v>Raiders</v>
      </c>
      <c r="J28" s="2" t="str">
        <f>Data!D29</f>
        <v>Roosters</v>
      </c>
      <c r="K28" s="2" t="str">
        <f>Data!E29</f>
        <v>Broncos</v>
      </c>
      <c r="L28" s="2" t="str">
        <f>IF(Data!$S$3&lt;Engine!L$1,0,Data!F29)</f>
        <v>Warriors</v>
      </c>
      <c r="M28" s="2" t="str">
        <f>IF(Data!$S$3&lt;Engine!M$1,0,Data!G29)</f>
        <v>Dolphins</v>
      </c>
      <c r="N28" s="2" t="str">
        <f>IF(Data!$S$3&lt;Engine!N$1,0,Data!H29)</f>
        <v>Rabbitohs</v>
      </c>
      <c r="O28" s="2" t="str">
        <f>IF(Data!$S$3&lt;Engine!O$1,0,Data!I29)</f>
        <v>Dragons</v>
      </c>
      <c r="P28" s="2" t="str">
        <f>IF(Data!$S$3&lt;Engine!P$1,0,Data!J29)</f>
        <v>Titans</v>
      </c>
      <c r="Q28" s="11" t="str">
        <f>IF(Data!B29=1,Data!K29,"No Tips")</f>
        <v>Raiders</v>
      </c>
      <c r="R28" s="2">
        <f>Data!L29</f>
        <v>0</v>
      </c>
      <c r="S28" s="2">
        <f>Data!M29</f>
        <v>313</v>
      </c>
      <c r="T28" s="1">
        <f>IF(I28="","",COUNTIF('Live Ladder'!P:P,I28)+COUNTIF('Live Ladder'!P:P,J28)+COUNTIF('Live Ladder'!P:P,K28)+COUNTIF('Live Ladder'!P:P,L28)+COUNTIF('Live Ladder'!P:P,M28)+COUNTIF('Live Ladder'!P:P,N28)+COUNTIF('Live Ladder'!P:P,O28)+COUNTIF('Live Ladder'!P:P,P28))</f>
        <v>1</v>
      </c>
      <c r="U28" s="1">
        <f>IF(I28="","",IF(COUNTIF('Live Ladder'!P:P,Engine!Q28)=1,2,IF(COUNTIF('Live Ladder'!Q:Q,Engine!Q28)=1,-2,0)))</f>
        <v>-2</v>
      </c>
      <c r="V28" s="1">
        <f>IF(I28="","",IF(T28=Data!S$3,2,0))</f>
        <v>0</v>
      </c>
      <c r="W28" s="1">
        <f t="shared" si="11"/>
        <v>-1</v>
      </c>
      <c r="X28" s="1">
        <f>IF(I28="",AE$2,IF(I28='Live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32</v>
      </c>
      <c r="Y28">
        <f t="shared" si="15"/>
        <v>-1</v>
      </c>
      <c r="Z28">
        <f t="shared" si="12"/>
        <v>345</v>
      </c>
      <c r="AA28" s="111">
        <f t="shared" si="13"/>
        <v>-0.99654993300000005</v>
      </c>
      <c r="AB28">
        <f t="shared" si="6"/>
        <v>-1</v>
      </c>
      <c r="AC28">
        <f>IF(I28="","",IF(I28='Live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32</v>
      </c>
      <c r="AF28">
        <f>IF(I28="","",IF(Q28="",0,IF(AND(Q28&gt;0,COUNTIF('Stats Calculator'!$T$24:$AA$24,Q28)=1),HLOOKUP(Q28,'Stats Calculator'!$T$24:$AA$27,4,FALSE),IF(AND(Q28&gt;0,COUNTIF('Stats Calculator'!$T$25:$AA$25,Q28)=1),HLOOKUP(Q28,'Stats Calculator'!$T$25:$AA$27,3,FALSE)))))</f>
        <v>1</v>
      </c>
      <c r="AG28">
        <f>IF(I28="","",COUNTIF(I28,'Stats Calculator'!E$31)+COUNTIF(J28,'Stats Calculator'!E$32)+COUNTIF(K28,'Stats Calculator'!E$33)+COUNTIF(L28,'Stats Calculator'!E$34)+COUNTIF(M28,'Stats Calculator'!E$35)+COUNTIF(N28,'Stats Calculator'!E$36)+COUNTIF(O28,'Stats Calculator'!E$37)+COUNTIF(P28,'Stats Calculator'!E$38)-8+Data!S$3)</f>
        <v>1</v>
      </c>
      <c r="AH28">
        <f>IF(I28="","",IF(Q28="",0,IF(Q28=0,0,IF(VLOOKUP(Engine!AF28,'Stats Calculator'!B$31:E$38,4,FALSE)="",0,IF(VLOOKUP(Engine!AF28,'Stats Calculator'!B$31:E$38,4,FALSE)=Q28,2,-2)))))</f>
        <v>-2</v>
      </c>
      <c r="AI28">
        <f>IF(I28="","",Data!S$3-COUNTA('Stats Calculator'!E$31:E$38))</f>
        <v>5</v>
      </c>
      <c r="AJ28">
        <f>IF(I28="","",IF(AF28=0,0,IF(VLOOKUP(AF28,'Stats Calculator'!B$31:E$38,4,FALSE)&gt;0,0,2)))</f>
        <v>0</v>
      </c>
      <c r="AK28">
        <f>IF(I28="","",IF(Data!S$3-Engine!AI28=AG28,2,0))</f>
        <v>0</v>
      </c>
      <c r="AL28">
        <f t="shared" si="14"/>
        <v>4</v>
      </c>
    </row>
    <row r="29" spans="1:38" x14ac:dyDescent="0.35">
      <c r="A29">
        <v>28</v>
      </c>
      <c r="B29">
        <f t="shared" si="0"/>
        <v>17</v>
      </c>
      <c r="C29" s="111">
        <f t="shared" si="8"/>
        <v>13.004530066000001</v>
      </c>
      <c r="D29">
        <f t="shared" si="1"/>
        <v>31</v>
      </c>
      <c r="E29" s="3" t="str">
        <f t="shared" si="9"/>
        <v>q</v>
      </c>
      <c r="F29">
        <f t="shared" si="10"/>
        <v>14</v>
      </c>
      <c r="G29">
        <v>66</v>
      </c>
      <c r="H29" t="str">
        <f>Data!A30</f>
        <v>MR. TAYLOR</v>
      </c>
      <c r="I29" s="2" t="str">
        <f>Data!C30</f>
        <v>Raiders</v>
      </c>
      <c r="J29" s="2" t="str">
        <f>Data!D30</f>
        <v>Panthers</v>
      </c>
      <c r="K29" s="2" t="str">
        <f>Data!E30</f>
        <v>Storm</v>
      </c>
      <c r="L29" s="2" t="str">
        <f>IF(Data!$S$3&lt;Engine!L$1,0,Data!F30)</f>
        <v>Warriors</v>
      </c>
      <c r="M29" s="2" t="str">
        <f>IF(Data!$S$3&lt;Engine!M$1,0,Data!G30)</f>
        <v>Sharks</v>
      </c>
      <c r="N29" s="2" t="str">
        <f>IF(Data!$S$3&lt;Engine!N$1,0,Data!H30)</f>
        <v>Rabbitohs</v>
      </c>
      <c r="O29" s="2" t="str">
        <f>IF(Data!$S$3&lt;Engine!O$1,0,Data!I30)</f>
        <v>Eels</v>
      </c>
      <c r="P29" s="2" t="str">
        <f>IF(Data!$S$3&lt;Engine!P$1,0,Data!J30)</f>
        <v>Cowboys</v>
      </c>
      <c r="Q29" s="11" t="str">
        <f>IF(Data!B30=1,Data!K30,"No Tips")</f>
        <v>Storm</v>
      </c>
      <c r="R29" s="2">
        <f>Data!L30</f>
        <v>13</v>
      </c>
      <c r="S29" s="2">
        <f>Data!M30</f>
        <v>453</v>
      </c>
      <c r="T29" s="1">
        <f>IF(I29="","",COUNTIF('Live Ladder'!P:P,I29)+COUNTIF('Live Ladder'!P:P,J29)+COUNTIF('Live Ladder'!P:P,K29)+COUNTIF('Live Ladder'!P:P,L29)+COUNTIF('Live Ladder'!P:P,M29)+COUNTIF('Live Ladder'!P:P,N29)+COUNTIF('Live Ladder'!P:P,O29)+COUNTIF('Live Ladder'!P:P,P29))</f>
        <v>1</v>
      </c>
      <c r="U29" s="1">
        <f>IF(I29="","",IF(COUNTIF('Live Ladder'!P:P,Engine!Q29)=1,2,IF(COUNTIF('Live Ladder'!Q:Q,Engine!Q29)=1,-2,0)))</f>
        <v>-2</v>
      </c>
      <c r="V29" s="1">
        <f>IF(I29="","",IF(T29=Data!S$3,2,0))</f>
        <v>0</v>
      </c>
      <c r="W29" s="1">
        <f t="shared" si="11"/>
        <v>-1</v>
      </c>
      <c r="X29" s="1">
        <f>IF(I29="",AE$2,IF(I29='Live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64</v>
      </c>
      <c r="Y29">
        <f t="shared" si="15"/>
        <v>12</v>
      </c>
      <c r="Z29">
        <f t="shared" si="12"/>
        <v>517</v>
      </c>
      <c r="AA29" s="111">
        <f t="shared" si="13"/>
        <v>12.005170066</v>
      </c>
      <c r="AB29">
        <f t="shared" si="6"/>
        <v>-1</v>
      </c>
      <c r="AC29">
        <f>IF(I29="","",IF(I29='Live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64</v>
      </c>
      <c r="AF29">
        <f>IF(I29="","",IF(Q29="",0,IF(AND(Q29&gt;0,COUNTIF('Stats Calculator'!$T$24:$AA$24,Q29)=1),HLOOKUP(Q29,'Stats Calculator'!$T$24:$AA$27,4,FALSE),IF(AND(Q29&gt;0,COUNTIF('Stats Calculator'!$T$25:$AA$25,Q29)=1),HLOOKUP(Q29,'Stats Calculator'!$T$25:$AA$27,3,FALSE)))))</f>
        <v>3</v>
      </c>
      <c r="AG29">
        <f>IF(I29="","",COUNTIF(I29,'Stats Calculator'!E$31)+COUNTIF(J29,'Stats Calculator'!E$32)+COUNTIF(K29,'Stats Calculator'!E$33)+COUNTIF(L29,'Stats Calculator'!E$34)+COUNTIF(M29,'Stats Calculator'!E$35)+COUNTIF(N29,'Stats Calculator'!E$36)+COUNTIF(O29,'Stats Calculator'!E$37)+COUNTIF(P29,'Stats Calculator'!E$38)-8+Data!S$3)</f>
        <v>1</v>
      </c>
      <c r="AH29">
        <f>IF(I29="","",IF(Q29="",0,IF(Q29=0,0,IF(VLOOKUP(Engine!AF29,'Stats Calculator'!B$31:E$38,4,FALSE)="",0,IF(VLOOKUP(Engine!AF29,'Stats Calculator'!B$31:E$38,4,FALSE)=Q29,2,-2)))))</f>
        <v>-2</v>
      </c>
      <c r="AI29">
        <f>IF(I29="","",Data!S$3-COUNTA('Stats Calculator'!E$31:E$38))</f>
        <v>5</v>
      </c>
      <c r="AJ29">
        <f>IF(I29="","",IF(AF29=0,0,IF(VLOOKUP(AF29,'Stats Calculator'!B$31:E$38,4,FALSE)&gt;0,0,2)))</f>
        <v>0</v>
      </c>
      <c r="AK29">
        <f>IF(I29="","",IF(Data!S$3-Engine!AI29=AG29,2,0))</f>
        <v>0</v>
      </c>
      <c r="AL29">
        <f t="shared" si="14"/>
        <v>4</v>
      </c>
    </row>
    <row r="30" spans="1:38" x14ac:dyDescent="0.35">
      <c r="A30">
        <v>29</v>
      </c>
      <c r="B30">
        <f t="shared" si="0"/>
        <v>12</v>
      </c>
      <c r="C30" s="111">
        <f t="shared" si="8"/>
        <v>14.004600065</v>
      </c>
      <c r="D30">
        <f t="shared" si="1"/>
        <v>10</v>
      </c>
      <c r="E30" s="3" t="str">
        <f t="shared" si="9"/>
        <v>p</v>
      </c>
      <c r="F30">
        <f t="shared" si="10"/>
        <v>2</v>
      </c>
      <c r="G30">
        <v>65</v>
      </c>
      <c r="H30" t="str">
        <f>Data!A31</f>
        <v>murch</v>
      </c>
      <c r="I30" s="2" t="str">
        <f>Data!C31</f>
        <v>Raiders</v>
      </c>
      <c r="J30" s="2" t="str">
        <f>Data!D31</f>
        <v>Panthers</v>
      </c>
      <c r="K30" s="2" t="str">
        <f>Data!E31</f>
        <v>Storm</v>
      </c>
      <c r="L30" s="2" t="str">
        <f>IF(Data!$S$3&lt;Engine!L$1,0,Data!F31)</f>
        <v>Warriors</v>
      </c>
      <c r="M30" s="2" t="str">
        <f>IF(Data!$S$3&lt;Engine!M$1,0,Data!G31)</f>
        <v>Sharks</v>
      </c>
      <c r="N30" s="2" t="str">
        <f>IF(Data!$S$3&lt;Engine!N$1,0,Data!H31)</f>
        <v>Rabbitohs</v>
      </c>
      <c r="O30" s="2" t="str">
        <f>IF(Data!$S$3&lt;Engine!O$1,0,Data!I31)</f>
        <v>Eels</v>
      </c>
      <c r="P30" s="2" t="str">
        <f>IF(Data!$S$3&lt;Engine!P$1,0,Data!J31)</f>
        <v>Cowboys</v>
      </c>
      <c r="Q30" s="11" t="str">
        <f>IF(Data!B31=1,Data!K31,"No Tips")</f>
        <v>Sharks</v>
      </c>
      <c r="R30" s="2">
        <f>Data!L31</f>
        <v>14</v>
      </c>
      <c r="S30" s="2">
        <f>Data!M31</f>
        <v>460</v>
      </c>
      <c r="T30" s="1">
        <f>IF(I30="","",COUNTIF('Live Ladder'!P:P,I30)+COUNTIF('Live Ladder'!P:P,J30)+COUNTIF('Live Ladder'!P:P,K30)+COUNTIF('Live Ladder'!P:P,L30)+COUNTIF('Live Ladder'!P:P,M30)+COUNTIF('Live Ladder'!P:P,N30)+COUNTIF('Live Ladder'!P:P,O30)+COUNTIF('Live Ladder'!P:P,P30))</f>
        <v>1</v>
      </c>
      <c r="U30" s="1">
        <f>IF(I30="","",IF(COUNTIF('Live Ladder'!P:P,Engine!Q30)=1,2,IF(COUNTIF('Live Ladder'!Q:Q,Engine!Q30)=1,-2,0)))</f>
        <v>0</v>
      </c>
      <c r="V30" s="1">
        <f>IF(I30="","",IF(T30=Data!S$3,2,0))</f>
        <v>0</v>
      </c>
      <c r="W30" s="1">
        <f t="shared" si="11"/>
        <v>1</v>
      </c>
      <c r="X30" s="1">
        <f>IF(I30="",AE$2,IF(I30='Live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64</v>
      </c>
      <c r="Y30">
        <f t="shared" si="15"/>
        <v>15</v>
      </c>
      <c r="Z30">
        <f t="shared" si="12"/>
        <v>524</v>
      </c>
      <c r="AA30" s="111">
        <f t="shared" si="13"/>
        <v>15.005240065000001</v>
      </c>
      <c r="AB30">
        <f t="shared" si="6"/>
        <v>1</v>
      </c>
      <c r="AC30">
        <f>IF(I30="","",IF(I30='Live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64</v>
      </c>
      <c r="AF30">
        <f>IF(I30="","",IF(Q30="",0,IF(AND(Q30&gt;0,COUNTIF('Stats Calculator'!$T$24:$AA$24,Q30)=1),HLOOKUP(Q30,'Stats Calculator'!$T$24:$AA$27,4,FALSE),IF(AND(Q30&gt;0,COUNTIF('Stats Calculator'!$T$25:$AA$25,Q30)=1),HLOOKUP(Q30,'Stats Calculator'!$T$25:$AA$27,3,FALSE)))))</f>
        <v>5</v>
      </c>
      <c r="AG30">
        <f>IF(I30="","",COUNTIF(I30,'Stats Calculator'!E$31)+COUNTIF(J30,'Stats Calculator'!E$32)+COUNTIF(K30,'Stats Calculator'!E$33)+COUNTIF(L30,'Stats Calculator'!E$34)+COUNTIF(M30,'Stats Calculator'!E$35)+COUNTIF(N30,'Stats Calculator'!E$36)+COUNTIF(O30,'Stats Calculator'!E$37)+COUNTIF(P30,'Stats Calculator'!E$38)-8+Data!S$3)</f>
        <v>1</v>
      </c>
      <c r="AH30">
        <f>IF(I30="","",IF(Q30="",0,IF(Q30=0,0,IF(VLOOKUP(Engine!AF30,'Stats Calculator'!B$31:E$38,4,FALSE)="",0,IF(VLOOKUP(Engine!AF30,'Stats Calculator'!B$31:E$38,4,FALSE)=Q30,2,-2)))))</f>
        <v>0</v>
      </c>
      <c r="AI30">
        <f>IF(I30="","",Data!S$3-COUNTA('Stats Calculator'!E$31:E$38))</f>
        <v>5</v>
      </c>
      <c r="AJ30">
        <f>IF(I30="","",IF(AF30=0,0,IF(VLOOKUP(AF30,'Stats Calculator'!B$31:E$38,4,FALSE)&gt;0,0,2)))</f>
        <v>2</v>
      </c>
      <c r="AK30">
        <f>IF(I30="","",IF(Data!S$3-Engine!AI30=AG30,2,0))</f>
        <v>0</v>
      </c>
      <c r="AL30">
        <f t="shared" si="14"/>
        <v>8</v>
      </c>
    </row>
    <row r="31" spans="1:38" s="10" customFormat="1" x14ac:dyDescent="0.35">
      <c r="A31">
        <v>30</v>
      </c>
      <c r="B31">
        <f t="shared" si="0"/>
        <v>45</v>
      </c>
      <c r="C31" s="111">
        <f t="shared" si="8"/>
        <v>8.0041400639999996</v>
      </c>
      <c r="D31">
        <f t="shared" si="1"/>
        <v>26</v>
      </c>
      <c r="E31" s="3" t="str">
        <f t="shared" si="9"/>
        <v>p</v>
      </c>
      <c r="F31">
        <f t="shared" si="10"/>
        <v>19</v>
      </c>
      <c r="G31">
        <v>64</v>
      </c>
      <c r="H31" t="str">
        <f>Data!A32</f>
        <v>Neville</v>
      </c>
      <c r="I31" s="2" t="str">
        <f>Data!C32</f>
        <v>Bulldogs</v>
      </c>
      <c r="J31" s="2" t="str">
        <f>Data!D32</f>
        <v>Panthers</v>
      </c>
      <c r="K31" s="2" t="str">
        <f>Data!E32</f>
        <v>Broncos</v>
      </c>
      <c r="L31" s="2" t="str">
        <f>IF(Data!$S$3&lt;Engine!L$1,0,Data!F32)</f>
        <v>Knights</v>
      </c>
      <c r="M31" s="2" t="str">
        <f>IF(Data!$S$3&lt;Engine!M$1,0,Data!G32)</f>
        <v>Sharks</v>
      </c>
      <c r="N31" s="2" t="str">
        <f>IF(Data!$S$3&lt;Engine!N$1,0,Data!H32)</f>
        <v>Wests Tigers</v>
      </c>
      <c r="O31" s="2" t="str">
        <f>IF(Data!$S$3&lt;Engine!O$1,0,Data!I32)</f>
        <v>Eels</v>
      </c>
      <c r="P31" s="2" t="str">
        <f>IF(Data!$S$3&lt;Engine!P$1,0,Data!J32)</f>
        <v>Cowboys</v>
      </c>
      <c r="Q31" s="11" t="str">
        <f>IF(Data!B32=1,Data!K32,"No Tips")</f>
        <v>Panthers</v>
      </c>
      <c r="R31" s="2">
        <f>Data!L32</f>
        <v>8</v>
      </c>
      <c r="S31" s="2">
        <f>Data!M32</f>
        <v>414</v>
      </c>
      <c r="T31" s="1">
        <f>IF(I31="","",COUNTIF('Live Ladder'!P:P,I31)+COUNTIF('Live Ladder'!P:P,J31)+COUNTIF('Live Ladder'!P:P,K31)+COUNTIF('Live Ladder'!P:P,L31)+COUNTIF('Live Ladder'!P:P,M31)+COUNTIF('Live Ladder'!P:P,N31)+COUNTIF('Live Ladder'!P:P,O31)+COUNTIF('Live Ladder'!P:P,P31))</f>
        <v>3</v>
      </c>
      <c r="U31" s="1">
        <f>IF(I31="","",IF(COUNTIF('Live Ladder'!P:P,Engine!Q31)=1,2,IF(COUNTIF('Live Ladder'!Q:Q,Engine!Q31)=1,-2,0)))</f>
        <v>2</v>
      </c>
      <c r="V31" s="1">
        <f>IF(I31="","",IF(T31=Data!S$3,2,0))</f>
        <v>0</v>
      </c>
      <c r="W31" s="1">
        <f t="shared" si="11"/>
        <v>5</v>
      </c>
      <c r="X31" s="1">
        <f>IF(I31="",AE$2,IF(I31='Live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72</v>
      </c>
      <c r="Y31">
        <f t="shared" si="15"/>
        <v>13</v>
      </c>
      <c r="Z31">
        <f t="shared" si="12"/>
        <v>486</v>
      </c>
      <c r="AA31" s="111">
        <f t="shared" si="13"/>
        <v>13.004860064000001</v>
      </c>
      <c r="AB31">
        <f t="shared" si="6"/>
        <v>5</v>
      </c>
      <c r="AC31">
        <f>IF(I31="","",IF(I31='Live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72</v>
      </c>
      <c r="AD31"/>
      <c r="AE31"/>
      <c r="AF31">
        <f>IF(I31="","",IF(Q31="",0,IF(AND(Q31&gt;0,COUNTIF('Stats Calculator'!$T$24:$AA$24,Q31)=1),HLOOKUP(Q31,'Stats Calculator'!$T$24:$AA$27,4,FALSE),IF(AND(Q31&gt;0,COUNTIF('Stats Calculator'!$T$25:$AA$25,Q31)=1),HLOOKUP(Q31,'Stats Calculator'!$T$25:$AA$27,3,FALSE)))))</f>
        <v>2</v>
      </c>
      <c r="AG31">
        <f>IF(I31="","",COUNTIF(I31,'Stats Calculator'!E$31)+COUNTIF(J31,'Stats Calculator'!E$32)+COUNTIF(K31,'Stats Calculator'!E$33)+COUNTIF(L31,'Stats Calculator'!E$34)+COUNTIF(M31,'Stats Calculator'!E$35)+COUNTIF(N31,'Stats Calculator'!E$36)+COUNTIF(O31,'Stats Calculator'!E$37)+COUNTIF(P31,'Stats Calculator'!E$38)-8+Data!S$3)</f>
        <v>3</v>
      </c>
      <c r="AH31">
        <f>IF(I31="","",IF(Q31="",0,IF(Q31=0,0,IF(VLOOKUP(Engine!AF31,'Stats Calculator'!B$31:E$38,4,FALSE)="",0,IF(VLOOKUP(Engine!AF31,'Stats Calculator'!B$31:E$38,4,FALSE)=Q31,2,-2)))))</f>
        <v>2</v>
      </c>
      <c r="AI31">
        <f>IF(I31="","",Data!S$3-COUNTA('Stats Calculator'!E$31:E$38))</f>
        <v>5</v>
      </c>
      <c r="AJ31">
        <f>IF(I31="","",IF(AF31=0,0,IF(VLOOKUP(AF31,'Stats Calculator'!B$31:E$38,4,FALSE)&gt;0,0,2)))</f>
        <v>0</v>
      </c>
      <c r="AK31">
        <f>IF(I31="","",IF(Data!S$3-Engine!AI31=AG31,2,0))</f>
        <v>2</v>
      </c>
      <c r="AL31">
        <f t="shared" si="14"/>
        <v>12</v>
      </c>
    </row>
    <row r="32" spans="1:38" x14ac:dyDescent="0.35">
      <c r="A32">
        <v>31</v>
      </c>
      <c r="B32">
        <f t="shared" si="0"/>
        <v>40</v>
      </c>
      <c r="C32" s="111">
        <f t="shared" si="8"/>
        <v>9.0045900630000002</v>
      </c>
      <c r="D32">
        <f t="shared" si="1"/>
        <v>38</v>
      </c>
      <c r="E32" s="3" t="str">
        <f t="shared" si="9"/>
        <v>p</v>
      </c>
      <c r="F32">
        <f t="shared" si="10"/>
        <v>2</v>
      </c>
      <c r="G32">
        <v>63</v>
      </c>
      <c r="H32" t="str">
        <f>Data!A33</f>
        <v>NotLast</v>
      </c>
      <c r="I32" s="2" t="str">
        <f>Data!C33</f>
        <v>Raiders</v>
      </c>
      <c r="J32" s="2" t="str">
        <f>Data!D33</f>
        <v>Panthers</v>
      </c>
      <c r="K32" s="2" t="str">
        <f>Data!E33</f>
        <v>Storm</v>
      </c>
      <c r="L32" s="2" t="str">
        <f>IF(Data!$S$3&lt;Engine!L$1,0,Data!F33)</f>
        <v>Knights</v>
      </c>
      <c r="M32" s="2" t="str">
        <f>IF(Data!$S$3&lt;Engine!M$1,0,Data!G33)</f>
        <v>Sharks</v>
      </c>
      <c r="N32" s="2" t="str">
        <f>IF(Data!$S$3&lt;Engine!N$1,0,Data!H33)</f>
        <v>Wests Tigers</v>
      </c>
      <c r="O32" s="2" t="str">
        <f>IF(Data!$S$3&lt;Engine!O$1,0,Data!I33)</f>
        <v>Eels</v>
      </c>
      <c r="P32" s="2" t="str">
        <f>IF(Data!$S$3&lt;Engine!P$1,0,Data!J33)</f>
        <v>Cowboys</v>
      </c>
      <c r="Q32" s="11" t="str">
        <f>IF(Data!B33=1,Data!K33,"No Tips")</f>
        <v>Sharks</v>
      </c>
      <c r="R32" s="2">
        <f>Data!L33</f>
        <v>9</v>
      </c>
      <c r="S32" s="2">
        <f>Data!M33</f>
        <v>459</v>
      </c>
      <c r="T32" s="1">
        <f>IF(I32="","",COUNTIF('Live Ladder'!P:P,I32)+COUNTIF('Live Ladder'!P:P,J32)+COUNTIF('Live Ladder'!P:P,K32)+COUNTIF('Live Ladder'!P:P,L32)+COUNTIF('Live Ladder'!P:P,M32)+COUNTIF('Live Ladder'!P:P,N32)+COUNTIF('Live Ladder'!P:P,O32)+COUNTIF('Live Ladder'!P:P,P32))</f>
        <v>1</v>
      </c>
      <c r="U32" s="1">
        <f>IF(I32="","",IF(COUNTIF('Live Ladder'!P:P,Engine!Q32)=1,2,IF(COUNTIF('Live Ladder'!Q:Q,Engine!Q32)=1,-2,0)))</f>
        <v>0</v>
      </c>
      <c r="V32" s="1">
        <f>IF(I32="","",IF(T32=Data!S$3,2,0))</f>
        <v>0</v>
      </c>
      <c r="W32" s="1">
        <f t="shared" si="11"/>
        <v>1</v>
      </c>
      <c r="X32" s="1">
        <f>IF(I32="",AE$2,IF(I32='Live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64</v>
      </c>
      <c r="Y32">
        <f t="shared" si="15"/>
        <v>10</v>
      </c>
      <c r="Z32">
        <f t="shared" si="12"/>
        <v>523</v>
      </c>
      <c r="AA32" s="111">
        <f t="shared" si="13"/>
        <v>10.005230062999999</v>
      </c>
      <c r="AB32">
        <f t="shared" si="6"/>
        <v>1</v>
      </c>
      <c r="AC32">
        <f>IF(I32="","",IF(I32='Live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64</v>
      </c>
      <c r="AF32">
        <f>IF(I32="","",IF(Q32="",0,IF(AND(Q32&gt;0,COUNTIF('Stats Calculator'!$T$24:$AA$24,Q32)=1),HLOOKUP(Q32,'Stats Calculator'!$T$24:$AA$27,4,FALSE),IF(AND(Q32&gt;0,COUNTIF('Stats Calculator'!$T$25:$AA$25,Q32)=1),HLOOKUP(Q32,'Stats Calculator'!$T$25:$AA$27,3,FALSE)))))</f>
        <v>5</v>
      </c>
      <c r="AG32">
        <f>IF(I32="","",COUNTIF(I32,'Stats Calculator'!E$31)+COUNTIF(J32,'Stats Calculator'!E$32)+COUNTIF(K32,'Stats Calculator'!E$33)+COUNTIF(L32,'Stats Calculator'!E$34)+COUNTIF(M32,'Stats Calculator'!E$35)+COUNTIF(N32,'Stats Calculator'!E$36)+COUNTIF(O32,'Stats Calculator'!E$37)+COUNTIF(P32,'Stats Calculator'!E$38)-8+Data!S$3)</f>
        <v>1</v>
      </c>
      <c r="AH32">
        <f>IF(I32="","",IF(Q32="",0,IF(Q32=0,0,IF(VLOOKUP(Engine!AF32,'Stats Calculator'!B$31:E$38,4,FALSE)="",0,IF(VLOOKUP(Engine!AF32,'Stats Calculator'!B$31:E$38,4,FALSE)=Q32,2,-2)))))</f>
        <v>0</v>
      </c>
      <c r="AI32">
        <f>IF(I32="","",Data!S$3-COUNTA('Stats Calculator'!E$31:E$38))</f>
        <v>5</v>
      </c>
      <c r="AJ32">
        <f>IF(I32="","",IF(AF32=0,0,IF(VLOOKUP(AF32,'Stats Calculator'!B$31:E$38,4,FALSE)&gt;0,0,2)))</f>
        <v>2</v>
      </c>
      <c r="AK32">
        <f>IF(I32="","",IF(Data!S$3-Engine!AI32=AG32,2,0))</f>
        <v>0</v>
      </c>
      <c r="AL32">
        <f t="shared" si="14"/>
        <v>8</v>
      </c>
    </row>
    <row r="33" spans="1:38" x14ac:dyDescent="0.35">
      <c r="A33">
        <v>32</v>
      </c>
      <c r="B33">
        <f t="shared" si="0"/>
        <v>35</v>
      </c>
      <c r="C33" s="111">
        <f t="shared" si="8"/>
        <v>10.004610061999999</v>
      </c>
      <c r="D33">
        <f t="shared" si="1"/>
        <v>36</v>
      </c>
      <c r="E33" s="3" t="str">
        <f t="shared" si="9"/>
        <v>q</v>
      </c>
      <c r="F33">
        <f t="shared" si="10"/>
        <v>1</v>
      </c>
      <c r="G33">
        <v>62</v>
      </c>
      <c r="H33" t="str">
        <f>Data!A34</f>
        <v>Pablo</v>
      </c>
      <c r="I33" s="2" t="str">
        <f>Data!C34</f>
        <v>Bulldogs</v>
      </c>
      <c r="J33" s="2" t="str">
        <f>Data!D34</f>
        <v>Panthers</v>
      </c>
      <c r="K33" s="2" t="str">
        <f>Data!E34</f>
        <v>Storm</v>
      </c>
      <c r="L33" s="2" t="str">
        <f>IF(Data!$S$3&lt;Engine!L$1,0,Data!F34)</f>
        <v>Warriors</v>
      </c>
      <c r="M33" s="2" t="str">
        <f>IF(Data!$S$3&lt;Engine!M$1,0,Data!G34)</f>
        <v>Sharks</v>
      </c>
      <c r="N33" s="2" t="str">
        <f>IF(Data!$S$3&lt;Engine!N$1,0,Data!H34)</f>
        <v>Wests Tigers</v>
      </c>
      <c r="O33" s="2" t="str">
        <f>IF(Data!$S$3&lt;Engine!O$1,0,Data!I34)</f>
        <v>Eels</v>
      </c>
      <c r="P33" s="2" t="str">
        <f>IF(Data!$S$3&lt;Engine!P$1,0,Data!J34)</f>
        <v>Cowboys</v>
      </c>
      <c r="Q33" s="11" t="str">
        <f>IF(Data!B34=1,Data!K34,"No Tips")</f>
        <v>Storm</v>
      </c>
      <c r="R33" s="2">
        <f>Data!L34</f>
        <v>10</v>
      </c>
      <c r="S33" s="2">
        <f>Data!M34</f>
        <v>461</v>
      </c>
      <c r="T33" s="1">
        <f>IF(I33="","",COUNTIF('Live Ladder'!P:P,I33)+COUNTIF('Live Ladder'!P:P,J33)+COUNTIF('Live Ladder'!P:P,K33)+COUNTIF('Live Ladder'!P:P,L33)+COUNTIF('Live Ladder'!P:P,M33)+COUNTIF('Live Ladder'!P:P,N33)+COUNTIF('Live Ladder'!P:P,O33)+COUNTIF('Live Ladder'!P:P,P33))</f>
        <v>2</v>
      </c>
      <c r="U33" s="1">
        <f>IF(I33="","",IF(COUNTIF('Live Ladder'!P:P,Engine!Q33)=1,2,IF(COUNTIF('Live Ladder'!Q:Q,Engine!Q33)=1,-2,0)))</f>
        <v>-2</v>
      </c>
      <c r="V33" s="1">
        <f>IF(I33="","",IF(T33=Data!S$3,2,0))</f>
        <v>0</v>
      </c>
      <c r="W33" s="1">
        <f t="shared" si="11"/>
        <v>0</v>
      </c>
      <c r="X33" s="1">
        <f>IF(I33="",AE$2,IF(I33='Live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68</v>
      </c>
      <c r="Y33">
        <f t="shared" si="15"/>
        <v>10</v>
      </c>
      <c r="Z33">
        <f t="shared" si="12"/>
        <v>529</v>
      </c>
      <c r="AA33" s="111">
        <f t="shared" si="13"/>
        <v>10.005290062</v>
      </c>
      <c r="AB33">
        <f t="shared" si="6"/>
        <v>0</v>
      </c>
      <c r="AC33">
        <f>IF(I33="","",IF(I33='Live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68</v>
      </c>
      <c r="AF33">
        <f>IF(I33="","",IF(Q33="",0,IF(AND(Q33&gt;0,COUNTIF('Stats Calculator'!$T$24:$AA$24,Q33)=1),HLOOKUP(Q33,'Stats Calculator'!$T$24:$AA$27,4,FALSE),IF(AND(Q33&gt;0,COUNTIF('Stats Calculator'!$T$25:$AA$25,Q33)=1),HLOOKUP(Q33,'Stats Calculator'!$T$25:$AA$27,3,FALSE)))))</f>
        <v>3</v>
      </c>
      <c r="AG33">
        <f>IF(I33="","",COUNTIF(I33,'Stats Calculator'!E$31)+COUNTIF(J33,'Stats Calculator'!E$32)+COUNTIF(K33,'Stats Calculator'!E$33)+COUNTIF(L33,'Stats Calculator'!E$34)+COUNTIF(M33,'Stats Calculator'!E$35)+COUNTIF(N33,'Stats Calculator'!E$36)+COUNTIF(O33,'Stats Calculator'!E$37)+COUNTIF(P33,'Stats Calculator'!E$38)-8+Data!S$3)</f>
        <v>2</v>
      </c>
      <c r="AH33">
        <f>IF(I33="","",IF(Q33="",0,IF(Q33=0,0,IF(VLOOKUP(Engine!AF33,'Stats Calculator'!B$31:E$38,4,FALSE)="",0,IF(VLOOKUP(Engine!AF33,'Stats Calculator'!B$31:E$38,4,FALSE)=Q33,2,-2)))))</f>
        <v>-2</v>
      </c>
      <c r="AI33">
        <f>IF(I33="","",Data!S$3-COUNTA('Stats Calculator'!E$31:E$38))</f>
        <v>5</v>
      </c>
      <c r="AJ33">
        <f>IF(I33="","",IF(AF33=0,0,IF(VLOOKUP(AF33,'Stats Calculator'!B$31:E$38,4,FALSE)&gt;0,0,2)))</f>
        <v>0</v>
      </c>
      <c r="AK33">
        <f>IF(I33="","",IF(Data!S$3-Engine!AI33=AG33,2,0))</f>
        <v>0</v>
      </c>
      <c r="AL33">
        <f t="shared" si="14"/>
        <v>5</v>
      </c>
    </row>
    <row r="34" spans="1:38" x14ac:dyDescent="0.35">
      <c r="A34">
        <v>33</v>
      </c>
      <c r="B34">
        <f t="shared" ref="B34:B65" si="16">IF(H34="ZZZZZZ Suspend","",RANK(C34,C:C))</f>
        <v>6</v>
      </c>
      <c r="C34" s="111">
        <f t="shared" si="8"/>
        <v>15.004880061</v>
      </c>
      <c r="D34">
        <f t="shared" ref="D34:D65" si="17">IF(H34="ZZZZZZ Suspend","",RANK(AA34,AA:AA))</f>
        <v>3</v>
      </c>
      <c r="E34" s="3" t="str">
        <f t="shared" si="9"/>
        <v>p</v>
      </c>
      <c r="F34">
        <f t="shared" si="10"/>
        <v>3</v>
      </c>
      <c r="G34">
        <v>61</v>
      </c>
      <c r="H34" t="str">
        <f>Data!A35</f>
        <v>Panthers29</v>
      </c>
      <c r="I34" s="2" t="str">
        <f>Data!C35</f>
        <v>Bulldogs</v>
      </c>
      <c r="J34" s="2" t="str">
        <f>Data!D35</f>
        <v>Panthers</v>
      </c>
      <c r="K34" s="2" t="str">
        <f>Data!E35</f>
        <v>Storm</v>
      </c>
      <c r="L34" s="2" t="str">
        <f>IF(Data!$S$3&lt;Engine!L$1,0,Data!F35)</f>
        <v>Warriors</v>
      </c>
      <c r="M34" s="2" t="str">
        <f>IF(Data!$S$3&lt;Engine!M$1,0,Data!G35)</f>
        <v>Sharks</v>
      </c>
      <c r="N34" s="2" t="str">
        <f>IF(Data!$S$3&lt;Engine!N$1,0,Data!H35)</f>
        <v>Rabbitohs</v>
      </c>
      <c r="O34" s="2" t="str">
        <f>IF(Data!$S$3&lt;Engine!O$1,0,Data!I35)</f>
        <v>Eels</v>
      </c>
      <c r="P34" s="2" t="str">
        <f>IF(Data!$S$3&lt;Engine!P$1,0,Data!J35)</f>
        <v>Titans</v>
      </c>
      <c r="Q34" s="11" t="str">
        <f>IF(Data!B35=1,Data!K35,"No Tips")</f>
        <v>Sharks</v>
      </c>
      <c r="R34" s="2">
        <f>Data!L35</f>
        <v>15</v>
      </c>
      <c r="S34" s="2">
        <f>Data!M35</f>
        <v>488</v>
      </c>
      <c r="T34" s="1">
        <f>IF(I34="","",COUNTIF('Live Ladder'!P:P,I34)+COUNTIF('Live Ladder'!P:P,J34)+COUNTIF('Live Ladder'!P:P,K34)+COUNTIF('Live Ladder'!P:P,L34)+COUNTIF('Live Ladder'!P:P,M34)+COUNTIF('Live Ladder'!P:P,N34)+COUNTIF('Live Ladder'!P:P,O34)+COUNTIF('Live Ladder'!P:P,P34))</f>
        <v>2</v>
      </c>
      <c r="U34" s="1">
        <f>IF(I34="","",IF(COUNTIF('Live Ladder'!P:P,Engine!Q34)=1,2,IF(COUNTIF('Live Ladder'!Q:Q,Engine!Q34)=1,-2,0)))</f>
        <v>0</v>
      </c>
      <c r="V34" s="1">
        <f>IF(I34="","",IF(T34=Data!S$3,2,0))</f>
        <v>0</v>
      </c>
      <c r="W34" s="1">
        <f t="shared" si="11"/>
        <v>2</v>
      </c>
      <c r="X34" s="1">
        <f>IF(I34="",AE$2,IF(I34='Live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68</v>
      </c>
      <c r="Y34">
        <f t="shared" si="15"/>
        <v>17</v>
      </c>
      <c r="Z34">
        <f t="shared" si="12"/>
        <v>556</v>
      </c>
      <c r="AA34" s="111">
        <f t="shared" si="13"/>
        <v>17.005560061000001</v>
      </c>
      <c r="AB34">
        <f t="shared" si="6"/>
        <v>2</v>
      </c>
      <c r="AC34">
        <f>IF(I34="","",IF(I34='Live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68</v>
      </c>
      <c r="AF34">
        <f>IF(I34="","",IF(Q34="",0,IF(AND(Q34&gt;0,COUNTIF('Stats Calculator'!$T$24:$AA$24,Q34)=1),HLOOKUP(Q34,'Stats Calculator'!$T$24:$AA$27,4,FALSE),IF(AND(Q34&gt;0,COUNTIF('Stats Calculator'!$T$25:$AA$25,Q34)=1),HLOOKUP(Q34,'Stats Calculator'!$T$25:$AA$27,3,FALSE)))))</f>
        <v>5</v>
      </c>
      <c r="AG34">
        <f>IF(I34="","",COUNTIF(I34,'Stats Calculator'!E$31)+COUNTIF(J34,'Stats Calculator'!E$32)+COUNTIF(K34,'Stats Calculator'!E$33)+COUNTIF(L34,'Stats Calculator'!E$34)+COUNTIF(M34,'Stats Calculator'!E$35)+COUNTIF(N34,'Stats Calculator'!E$36)+COUNTIF(O34,'Stats Calculator'!E$37)+COUNTIF(P34,'Stats Calculator'!E$38)-8+Data!S$3)</f>
        <v>2</v>
      </c>
      <c r="AH34">
        <f>IF(I34="","",IF(Q34="",0,IF(Q34=0,0,IF(VLOOKUP(Engine!AF34,'Stats Calculator'!B$31:E$38,4,FALSE)="",0,IF(VLOOKUP(Engine!AF34,'Stats Calculator'!B$31:E$38,4,FALSE)=Q34,2,-2)))))</f>
        <v>0</v>
      </c>
      <c r="AI34">
        <f>IF(I34="","",Data!S$3-COUNTA('Stats Calculator'!E$31:E$38))</f>
        <v>5</v>
      </c>
      <c r="AJ34">
        <f>IF(I34="","",IF(AF34=0,0,IF(VLOOKUP(AF34,'Stats Calculator'!B$31:E$38,4,FALSE)&gt;0,0,2)))</f>
        <v>2</v>
      </c>
      <c r="AK34">
        <f>IF(I34="","",IF(Data!S$3-Engine!AI34=AG34,2,0))</f>
        <v>0</v>
      </c>
      <c r="AL34">
        <f t="shared" si="14"/>
        <v>9</v>
      </c>
    </row>
    <row r="35" spans="1:38" x14ac:dyDescent="0.35">
      <c r="A35">
        <v>34</v>
      </c>
      <c r="B35">
        <f t="shared" si="16"/>
        <v>42</v>
      </c>
      <c r="C35" s="111">
        <f t="shared" si="8"/>
        <v>9.0044800599999988</v>
      </c>
      <c r="D35">
        <f t="shared" si="17"/>
        <v>32</v>
      </c>
      <c r="E35" s="3" t="str">
        <f t="shared" si="9"/>
        <v>p</v>
      </c>
      <c r="F35">
        <f t="shared" si="10"/>
        <v>10</v>
      </c>
      <c r="G35">
        <v>60</v>
      </c>
      <c r="H35" t="str">
        <f>Data!A36</f>
        <v>Ramin Dadisho</v>
      </c>
      <c r="I35" s="2" t="str">
        <f>Data!C36</f>
        <v>Raiders</v>
      </c>
      <c r="J35" s="2" t="str">
        <f>Data!D36</f>
        <v>Panthers</v>
      </c>
      <c r="K35" s="2" t="str">
        <f>Data!E36</f>
        <v>Storm</v>
      </c>
      <c r="L35" s="2" t="str">
        <f>IF(Data!$S$3&lt;Engine!L$1,0,Data!F36)</f>
        <v>Warriors</v>
      </c>
      <c r="M35" s="2" t="str">
        <f>IF(Data!$S$3&lt;Engine!M$1,0,Data!G36)</f>
        <v>Sharks</v>
      </c>
      <c r="N35" s="2" t="str">
        <f>IF(Data!$S$3&lt;Engine!N$1,0,Data!H36)</f>
        <v>Rabbitohs</v>
      </c>
      <c r="O35" s="2" t="str">
        <f>IF(Data!$S$3&lt;Engine!O$1,0,Data!I36)</f>
        <v>Eels</v>
      </c>
      <c r="P35" s="2" t="str">
        <f>IF(Data!$S$3&lt;Engine!P$1,0,Data!J36)</f>
        <v>Cowboys</v>
      </c>
      <c r="Q35" s="11" t="str">
        <f>IF(Data!B36=1,Data!K36,"No Tips")</f>
        <v>Panthers</v>
      </c>
      <c r="R35" s="2">
        <f>Data!L36</f>
        <v>9</v>
      </c>
      <c r="S35" s="2">
        <f>Data!M36</f>
        <v>448</v>
      </c>
      <c r="T35" s="1">
        <f>IF(I35="","",COUNTIF('Live Ladder'!P:P,I35)+COUNTIF('Live Ladder'!P:P,J35)+COUNTIF('Live Ladder'!P:P,K35)+COUNTIF('Live Ladder'!P:P,L35)+COUNTIF('Live Ladder'!P:P,M35)+COUNTIF('Live Ladder'!P:P,N35)+COUNTIF('Live Ladder'!P:P,O35)+COUNTIF('Live Ladder'!P:P,P35))</f>
        <v>1</v>
      </c>
      <c r="U35" s="1">
        <f>IF(I35="","",IF(COUNTIF('Live Ladder'!P:P,Engine!Q35)=1,2,IF(COUNTIF('Live Ladder'!Q:Q,Engine!Q35)=1,-2,0)))</f>
        <v>2</v>
      </c>
      <c r="V35" s="1">
        <f>IF(I35="","",IF(T35=Data!S$3,2,0))</f>
        <v>0</v>
      </c>
      <c r="W35" s="1">
        <f t="shared" si="11"/>
        <v>3</v>
      </c>
      <c r="X35" s="1">
        <f>IF(I35="",AE$2,IF(I35='Live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64</v>
      </c>
      <c r="Y35">
        <f t="shared" si="15"/>
        <v>12</v>
      </c>
      <c r="Z35">
        <f t="shared" si="12"/>
        <v>512</v>
      </c>
      <c r="AA35" s="111">
        <f t="shared" si="13"/>
        <v>12.005120059999999</v>
      </c>
      <c r="AB35">
        <f t="shared" si="6"/>
        <v>3</v>
      </c>
      <c r="AC35">
        <f>IF(I35="","",IF(I35='Live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64</v>
      </c>
      <c r="AF35">
        <f>IF(I35="","",IF(Q35="",0,IF(AND(Q35&gt;0,COUNTIF('Stats Calculator'!$T$24:$AA$24,Q35)=1),HLOOKUP(Q35,'Stats Calculator'!$T$24:$AA$27,4,FALSE),IF(AND(Q35&gt;0,COUNTIF('Stats Calculator'!$T$25:$AA$25,Q35)=1),HLOOKUP(Q35,'Stats Calculator'!$T$25:$AA$27,3,FALSE)))))</f>
        <v>2</v>
      </c>
      <c r="AG35">
        <f>IF(I35="","",COUNTIF(I35,'Stats Calculator'!E$31)+COUNTIF(J35,'Stats Calculator'!E$32)+COUNTIF(K35,'Stats Calculator'!E$33)+COUNTIF(L35,'Stats Calculator'!E$34)+COUNTIF(M35,'Stats Calculator'!E$35)+COUNTIF(N35,'Stats Calculator'!E$36)+COUNTIF(O35,'Stats Calculator'!E$37)+COUNTIF(P35,'Stats Calculator'!E$38)-8+Data!S$3)</f>
        <v>1</v>
      </c>
      <c r="AH35">
        <f>IF(I35="","",IF(Q35="",0,IF(Q35=0,0,IF(VLOOKUP(Engine!AF35,'Stats Calculator'!B$31:E$38,4,FALSE)="",0,IF(VLOOKUP(Engine!AF35,'Stats Calculator'!B$31:E$38,4,FALSE)=Q35,2,-2)))))</f>
        <v>2</v>
      </c>
      <c r="AI35">
        <f>IF(I35="","",Data!S$3-COUNTA('Stats Calculator'!E$31:E$38))</f>
        <v>5</v>
      </c>
      <c r="AJ35">
        <f>IF(I35="","",IF(AF35=0,0,IF(VLOOKUP(AF35,'Stats Calculator'!B$31:E$38,4,FALSE)&gt;0,0,2)))</f>
        <v>0</v>
      </c>
      <c r="AK35">
        <f>IF(I35="","",IF(Data!S$3-Engine!AI35=AG35,2,0))</f>
        <v>0</v>
      </c>
      <c r="AL35">
        <f t="shared" si="14"/>
        <v>8</v>
      </c>
    </row>
    <row r="36" spans="1:38" x14ac:dyDescent="0.35">
      <c r="A36">
        <v>35</v>
      </c>
      <c r="B36">
        <f t="shared" si="16"/>
        <v>20</v>
      </c>
      <c r="C36" s="111">
        <f t="shared" si="8"/>
        <v>13.004280058999999</v>
      </c>
      <c r="D36">
        <f t="shared" si="17"/>
        <v>23</v>
      </c>
      <c r="E36" s="3" t="str">
        <f t="shared" si="9"/>
        <v>q</v>
      </c>
      <c r="F36">
        <f t="shared" si="10"/>
        <v>3</v>
      </c>
      <c r="G36">
        <v>59</v>
      </c>
      <c r="H36" t="str">
        <f>Data!A37</f>
        <v>Robert Cook</v>
      </c>
      <c r="I36" s="2" t="str">
        <f>Data!C37</f>
        <v>Bulldogs</v>
      </c>
      <c r="J36" s="2" t="str">
        <f>Data!D37</f>
        <v>Panthers</v>
      </c>
      <c r="K36" s="2" t="str">
        <f>Data!E37</f>
        <v>Storm</v>
      </c>
      <c r="L36" s="2" t="str">
        <f>IF(Data!$S$3&lt;Engine!L$1,0,Data!F37)</f>
        <v>Knights</v>
      </c>
      <c r="M36" s="2" t="str">
        <f>IF(Data!$S$3&lt;Engine!M$1,0,Data!G37)</f>
        <v>Sharks</v>
      </c>
      <c r="N36" s="2" t="str">
        <f>IF(Data!$S$3&lt;Engine!N$1,0,Data!H37)</f>
        <v>Rabbitohs</v>
      </c>
      <c r="O36" s="2" t="str">
        <f>IF(Data!$S$3&lt;Engine!O$1,0,Data!I37)</f>
        <v>Eels</v>
      </c>
      <c r="P36" s="2" t="str">
        <f>IF(Data!$S$3&lt;Engine!P$1,0,Data!J37)</f>
        <v>Cowboys</v>
      </c>
      <c r="Q36" s="11" t="str">
        <f>IF(Data!B37=1,Data!K37,"No Tips")</f>
        <v>Storm</v>
      </c>
      <c r="R36" s="2">
        <f>Data!L37</f>
        <v>13</v>
      </c>
      <c r="S36" s="2">
        <f>Data!M37</f>
        <v>428</v>
      </c>
      <c r="T36" s="1">
        <f>IF(I36="","",COUNTIF('Live Ladder'!P:P,I36)+COUNTIF('Live Ladder'!P:P,J36)+COUNTIF('Live Ladder'!P:P,K36)+COUNTIF('Live Ladder'!P:P,L36)+COUNTIF('Live Ladder'!P:P,M36)+COUNTIF('Live Ladder'!P:P,N36)+COUNTIF('Live Ladder'!P:P,O36)+COUNTIF('Live Ladder'!P:P,P36))</f>
        <v>2</v>
      </c>
      <c r="U36" s="1">
        <f>IF(I36="","",IF(COUNTIF('Live Ladder'!P:P,Engine!Q36)=1,2,IF(COUNTIF('Live Ladder'!Q:Q,Engine!Q36)=1,-2,0)))</f>
        <v>-2</v>
      </c>
      <c r="V36" s="1">
        <f>IF(I36="","",IF(T36=Data!S$3,2,0))</f>
        <v>0</v>
      </c>
      <c r="W36" s="1">
        <f t="shared" si="11"/>
        <v>0</v>
      </c>
      <c r="X36" s="1">
        <f>IF(I36="",AE$2,IF(I36='Live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68</v>
      </c>
      <c r="Y36">
        <f t="shared" si="15"/>
        <v>13</v>
      </c>
      <c r="Z36">
        <f t="shared" si="12"/>
        <v>496</v>
      </c>
      <c r="AA36" s="111">
        <f t="shared" si="13"/>
        <v>13.004960059</v>
      </c>
      <c r="AB36">
        <f t="shared" si="6"/>
        <v>0</v>
      </c>
      <c r="AC36">
        <f>IF(I36="","",IF(I36='Live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68</v>
      </c>
      <c r="AF36">
        <f>IF(I36="","",IF(Q36="",0,IF(AND(Q36&gt;0,COUNTIF('Stats Calculator'!$T$24:$AA$24,Q36)=1),HLOOKUP(Q36,'Stats Calculator'!$T$24:$AA$27,4,FALSE),IF(AND(Q36&gt;0,COUNTIF('Stats Calculator'!$T$25:$AA$25,Q36)=1),HLOOKUP(Q36,'Stats Calculator'!$T$25:$AA$27,3,FALSE)))))</f>
        <v>3</v>
      </c>
      <c r="AG36">
        <f>IF(I36="","",COUNTIF(I36,'Stats Calculator'!E$31)+COUNTIF(J36,'Stats Calculator'!E$32)+COUNTIF(K36,'Stats Calculator'!E$33)+COUNTIF(L36,'Stats Calculator'!E$34)+COUNTIF(M36,'Stats Calculator'!E$35)+COUNTIF(N36,'Stats Calculator'!E$36)+COUNTIF(O36,'Stats Calculator'!E$37)+COUNTIF(P36,'Stats Calculator'!E$38)-8+Data!S$3)</f>
        <v>2</v>
      </c>
      <c r="AH36">
        <f>IF(I36="","",IF(Q36="",0,IF(Q36=0,0,IF(VLOOKUP(Engine!AF36,'Stats Calculator'!B$31:E$38,4,FALSE)="",0,IF(VLOOKUP(Engine!AF36,'Stats Calculator'!B$31:E$38,4,FALSE)=Q36,2,-2)))))</f>
        <v>-2</v>
      </c>
      <c r="AI36">
        <f>IF(I36="","",Data!S$3-COUNTA('Stats Calculator'!E$31:E$38))</f>
        <v>5</v>
      </c>
      <c r="AJ36">
        <f>IF(I36="","",IF(AF36=0,0,IF(VLOOKUP(AF36,'Stats Calculator'!B$31:E$38,4,FALSE)&gt;0,0,2)))</f>
        <v>0</v>
      </c>
      <c r="AK36">
        <f>IF(I36="","",IF(Data!S$3-Engine!AI36=AG36,2,0))</f>
        <v>0</v>
      </c>
      <c r="AL36">
        <f t="shared" si="14"/>
        <v>5</v>
      </c>
    </row>
    <row r="37" spans="1:38" x14ac:dyDescent="0.35">
      <c r="A37">
        <v>36</v>
      </c>
      <c r="B37">
        <f t="shared" si="16"/>
        <v>13</v>
      </c>
      <c r="C37" s="111">
        <f t="shared" si="8"/>
        <v>14.004600057999999</v>
      </c>
      <c r="D37">
        <f t="shared" si="17"/>
        <v>21</v>
      </c>
      <c r="E37" s="3" t="str">
        <f t="shared" si="9"/>
        <v>q</v>
      </c>
      <c r="F37">
        <f t="shared" si="10"/>
        <v>8</v>
      </c>
      <c r="G37">
        <v>58</v>
      </c>
      <c r="H37" t="str">
        <f>Data!A38</f>
        <v>Rossco the Pom</v>
      </c>
      <c r="I37" s="2" t="str">
        <f>Data!C38</f>
        <v>Raiders</v>
      </c>
      <c r="J37" s="2" t="str">
        <f>Data!D38</f>
        <v>Panthers</v>
      </c>
      <c r="K37" s="2" t="str">
        <f>Data!E38</f>
        <v>Storm</v>
      </c>
      <c r="L37" s="2" t="str">
        <f>IF(Data!$S$3&lt;Engine!L$1,0,Data!F38)</f>
        <v>Warriors</v>
      </c>
      <c r="M37" s="2" t="str">
        <f>IF(Data!$S$3&lt;Engine!M$1,0,Data!G38)</f>
        <v>Sharks</v>
      </c>
      <c r="N37" s="2" t="str">
        <f>IF(Data!$S$3&lt;Engine!N$1,0,Data!H38)</f>
        <v>Rabbitohs</v>
      </c>
      <c r="O37" s="2" t="str">
        <f>IF(Data!$S$3&lt;Engine!O$1,0,Data!I38)</f>
        <v>Eels</v>
      </c>
      <c r="P37" s="2" t="str">
        <f>IF(Data!$S$3&lt;Engine!P$1,0,Data!J38)</f>
        <v>Cowboys</v>
      </c>
      <c r="Q37" s="11" t="str">
        <f>IF(Data!B38=1,Data!K38,"No Tips")</f>
        <v>Storm</v>
      </c>
      <c r="R37" s="2">
        <f>Data!L38</f>
        <v>14</v>
      </c>
      <c r="S37" s="2">
        <f>Data!M38</f>
        <v>460</v>
      </c>
      <c r="T37" s="1">
        <f>IF(I37="","",COUNTIF('Live Ladder'!P:P,I37)+COUNTIF('Live Ladder'!P:P,J37)+COUNTIF('Live Ladder'!P:P,K37)+COUNTIF('Live Ladder'!P:P,L37)+COUNTIF('Live Ladder'!P:P,M37)+COUNTIF('Live Ladder'!P:P,N37)+COUNTIF('Live Ladder'!P:P,O37)+COUNTIF('Live Ladder'!P:P,P37))</f>
        <v>1</v>
      </c>
      <c r="U37" s="1">
        <f>IF(I37="","",IF(COUNTIF('Live Ladder'!P:P,Engine!Q37)=1,2,IF(COUNTIF('Live Ladder'!Q:Q,Engine!Q37)=1,-2,0)))</f>
        <v>-2</v>
      </c>
      <c r="V37" s="1">
        <f>IF(I37="","",IF(T37=Data!S$3,2,0))</f>
        <v>0</v>
      </c>
      <c r="W37" s="1">
        <f t="shared" si="11"/>
        <v>-1</v>
      </c>
      <c r="X37" s="1">
        <f>IF(I37="",AE$2,IF(I37='Live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64</v>
      </c>
      <c r="Y37">
        <f t="shared" si="15"/>
        <v>13</v>
      </c>
      <c r="Z37">
        <f t="shared" si="12"/>
        <v>524</v>
      </c>
      <c r="AA37" s="111">
        <f t="shared" si="13"/>
        <v>13.005240058</v>
      </c>
      <c r="AB37">
        <f t="shared" si="6"/>
        <v>-1</v>
      </c>
      <c r="AC37">
        <f>IF(I37="","",IF(I37='Live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64</v>
      </c>
      <c r="AF37">
        <f>IF(I37="","",IF(Q37="",0,IF(AND(Q37&gt;0,COUNTIF('Stats Calculator'!$T$24:$AA$24,Q37)=1),HLOOKUP(Q37,'Stats Calculator'!$T$24:$AA$27,4,FALSE),IF(AND(Q37&gt;0,COUNTIF('Stats Calculator'!$T$25:$AA$25,Q37)=1),HLOOKUP(Q37,'Stats Calculator'!$T$25:$AA$27,3,FALSE)))))</f>
        <v>3</v>
      </c>
      <c r="AG37">
        <f>IF(I37="","",COUNTIF(I37,'Stats Calculator'!E$31)+COUNTIF(J37,'Stats Calculator'!E$32)+COUNTIF(K37,'Stats Calculator'!E$33)+COUNTIF(L37,'Stats Calculator'!E$34)+COUNTIF(M37,'Stats Calculator'!E$35)+COUNTIF(N37,'Stats Calculator'!E$36)+COUNTIF(O37,'Stats Calculator'!E$37)+COUNTIF(P37,'Stats Calculator'!E$38)-8+Data!S$3)</f>
        <v>1</v>
      </c>
      <c r="AH37">
        <f>IF(I37="","",IF(Q37="",0,IF(Q37=0,0,IF(VLOOKUP(Engine!AF37,'Stats Calculator'!B$31:E$38,4,FALSE)="",0,IF(VLOOKUP(Engine!AF37,'Stats Calculator'!B$31:E$38,4,FALSE)=Q37,2,-2)))))</f>
        <v>-2</v>
      </c>
      <c r="AI37">
        <f>IF(I37="","",Data!S$3-COUNTA('Stats Calculator'!E$31:E$38))</f>
        <v>5</v>
      </c>
      <c r="AJ37">
        <f>IF(I37="","",IF(AF37=0,0,IF(VLOOKUP(AF37,'Stats Calculator'!B$31:E$38,4,FALSE)&gt;0,0,2)))</f>
        <v>0</v>
      </c>
      <c r="AK37">
        <f>IF(I37="","",IF(Data!S$3-Engine!AI37=AG37,2,0))</f>
        <v>0</v>
      </c>
      <c r="AL37">
        <f t="shared" si="14"/>
        <v>4</v>
      </c>
    </row>
    <row r="38" spans="1:38" x14ac:dyDescent="0.35">
      <c r="A38">
        <v>37</v>
      </c>
      <c r="B38">
        <f t="shared" si="16"/>
        <v>23</v>
      </c>
      <c r="C38" s="111">
        <f t="shared" si="8"/>
        <v>12.005100057</v>
      </c>
      <c r="D38">
        <f t="shared" si="17"/>
        <v>33</v>
      </c>
      <c r="E38" s="3" t="str">
        <f t="shared" si="9"/>
        <v>q</v>
      </c>
      <c r="F38">
        <f t="shared" si="10"/>
        <v>10</v>
      </c>
      <c r="G38">
        <v>57</v>
      </c>
      <c r="H38" t="str">
        <f>Data!A39</f>
        <v>Runner</v>
      </c>
      <c r="I38" s="2" t="str">
        <f>Data!C39</f>
        <v>Raiders</v>
      </c>
      <c r="J38" s="2" t="str">
        <f>Data!D39</f>
        <v>Panthers</v>
      </c>
      <c r="K38" s="2" t="str">
        <f>Data!E39</f>
        <v>Storm</v>
      </c>
      <c r="L38" s="2" t="str">
        <f>IF(Data!$S$3&lt;Engine!L$1,0,Data!F39)</f>
        <v>Warriors</v>
      </c>
      <c r="M38" s="2" t="str">
        <f>IF(Data!$S$3&lt;Engine!M$1,0,Data!G39)</f>
        <v>Sharks</v>
      </c>
      <c r="N38" s="2" t="str">
        <f>IF(Data!$S$3&lt;Engine!N$1,0,Data!H39)</f>
        <v>Rabbitohs</v>
      </c>
      <c r="O38" s="2" t="str">
        <f>IF(Data!$S$3&lt;Engine!O$1,0,Data!I39)</f>
        <v>Eels</v>
      </c>
      <c r="P38" s="2" t="str">
        <f>IF(Data!$S$3&lt;Engine!P$1,0,Data!J39)</f>
        <v>Cowboys</v>
      </c>
      <c r="Q38" s="11" t="str">
        <f>IF(Data!B39=1,Data!K39,"No Tips")</f>
        <v>Storm</v>
      </c>
      <c r="R38" s="2">
        <f>Data!L39</f>
        <v>12</v>
      </c>
      <c r="S38" s="2">
        <f>Data!M39</f>
        <v>510</v>
      </c>
      <c r="T38" s="1">
        <f>IF(I38="","",COUNTIF('Live Ladder'!P:P,I38)+COUNTIF('Live Ladder'!P:P,J38)+COUNTIF('Live Ladder'!P:P,K38)+COUNTIF('Live Ladder'!P:P,L38)+COUNTIF('Live Ladder'!P:P,M38)+COUNTIF('Live Ladder'!P:P,N38)+COUNTIF('Live Ladder'!P:P,O38)+COUNTIF('Live Ladder'!P:P,P38))</f>
        <v>1</v>
      </c>
      <c r="U38" s="1">
        <f>IF(I38="","",IF(COUNTIF('Live Ladder'!P:P,Engine!Q38)=1,2,IF(COUNTIF('Live Ladder'!Q:Q,Engine!Q38)=1,-2,0)))</f>
        <v>-2</v>
      </c>
      <c r="V38" s="1">
        <f>IF(I38="","",IF(T38=Data!S$3,2,0))</f>
        <v>0</v>
      </c>
      <c r="W38" s="1">
        <f t="shared" si="11"/>
        <v>-1</v>
      </c>
      <c r="X38" s="1">
        <f>IF(I38="",AE$2,IF(I38='Live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64</v>
      </c>
      <c r="Y38">
        <f t="shared" si="15"/>
        <v>11</v>
      </c>
      <c r="Z38">
        <f t="shared" si="12"/>
        <v>574</v>
      </c>
      <c r="AA38" s="111">
        <f t="shared" si="13"/>
        <v>11.005740056999999</v>
      </c>
      <c r="AB38">
        <f t="shared" si="6"/>
        <v>-1</v>
      </c>
      <c r="AC38">
        <f>IF(I38="","",IF(I38='Live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64</v>
      </c>
      <c r="AF38">
        <f>IF(I38="","",IF(Q38="",0,IF(AND(Q38&gt;0,COUNTIF('Stats Calculator'!$T$24:$AA$24,Q38)=1),HLOOKUP(Q38,'Stats Calculator'!$T$24:$AA$27,4,FALSE),IF(AND(Q38&gt;0,COUNTIF('Stats Calculator'!$T$25:$AA$25,Q38)=1),HLOOKUP(Q38,'Stats Calculator'!$T$25:$AA$27,3,FALSE)))))</f>
        <v>3</v>
      </c>
      <c r="AG38">
        <f>IF(I38="","",COUNTIF(I38,'Stats Calculator'!E$31)+COUNTIF(J38,'Stats Calculator'!E$32)+COUNTIF(K38,'Stats Calculator'!E$33)+COUNTIF(L38,'Stats Calculator'!E$34)+COUNTIF(M38,'Stats Calculator'!E$35)+COUNTIF(N38,'Stats Calculator'!E$36)+COUNTIF(O38,'Stats Calculator'!E$37)+COUNTIF(P38,'Stats Calculator'!E$38)-8+Data!S$3)</f>
        <v>1</v>
      </c>
      <c r="AH38">
        <f>IF(I38="","",IF(Q38="",0,IF(Q38=0,0,IF(VLOOKUP(Engine!AF38,'Stats Calculator'!B$31:E$38,4,FALSE)="",0,IF(VLOOKUP(Engine!AF38,'Stats Calculator'!B$31:E$38,4,FALSE)=Q38,2,-2)))))</f>
        <v>-2</v>
      </c>
      <c r="AI38">
        <f>IF(I38="","",Data!S$3-COUNTA('Stats Calculator'!E$31:E$38))</f>
        <v>5</v>
      </c>
      <c r="AJ38">
        <f>IF(I38="","",IF(AF38=0,0,IF(VLOOKUP(AF38,'Stats Calculator'!B$31:E$38,4,FALSE)&gt;0,0,2)))</f>
        <v>0</v>
      </c>
      <c r="AK38">
        <f>IF(I38="","",IF(Data!S$3-Engine!AI38=AG38,2,0))</f>
        <v>0</v>
      </c>
      <c r="AL38">
        <f t="shared" si="14"/>
        <v>4</v>
      </c>
    </row>
    <row r="39" spans="1:38" x14ac:dyDescent="0.35">
      <c r="A39">
        <v>38</v>
      </c>
      <c r="B39">
        <f t="shared" si="16"/>
        <v>21</v>
      </c>
      <c r="C39" s="111">
        <f t="shared" si="8"/>
        <v>13.004280055999999</v>
      </c>
      <c r="D39">
        <f t="shared" si="17"/>
        <v>24</v>
      </c>
      <c r="E39" s="3" t="str">
        <f t="shared" si="9"/>
        <v>q</v>
      </c>
      <c r="F39">
        <f t="shared" si="10"/>
        <v>3</v>
      </c>
      <c r="G39">
        <v>56</v>
      </c>
      <c r="H39" t="str">
        <f>Data!A40</f>
        <v>Seano</v>
      </c>
      <c r="I39" s="2" t="str">
        <f>Data!C40</f>
        <v>Bulldogs</v>
      </c>
      <c r="J39" s="2" t="str">
        <f>Data!D40</f>
        <v>Panthers</v>
      </c>
      <c r="K39" s="2" t="str">
        <f>Data!E40</f>
        <v>Storm</v>
      </c>
      <c r="L39" s="2" t="str">
        <f>IF(Data!$S$3&lt;Engine!L$1,0,Data!F40)</f>
        <v>Warriors</v>
      </c>
      <c r="M39" s="2" t="str">
        <f>IF(Data!$S$3&lt;Engine!M$1,0,Data!G40)</f>
        <v>Sharks</v>
      </c>
      <c r="N39" s="2" t="str">
        <f>IF(Data!$S$3&lt;Engine!N$1,0,Data!H40)</f>
        <v>Rabbitohs</v>
      </c>
      <c r="O39" s="2" t="str">
        <f>IF(Data!$S$3&lt;Engine!O$1,0,Data!I40)</f>
        <v>Eels</v>
      </c>
      <c r="P39" s="2" t="str">
        <f>IF(Data!$S$3&lt;Engine!P$1,0,Data!J40)</f>
        <v>Cowboys</v>
      </c>
      <c r="Q39" s="11" t="str">
        <f>IF(Data!B40=1,Data!K40,"No Tips")</f>
        <v>Storm</v>
      </c>
      <c r="R39" s="2">
        <f>Data!L40</f>
        <v>13</v>
      </c>
      <c r="S39" s="2">
        <f>Data!M40</f>
        <v>428</v>
      </c>
      <c r="T39" s="1">
        <f>IF(I39="","",COUNTIF('Live Ladder'!P:P,I39)+COUNTIF('Live Ladder'!P:P,J39)+COUNTIF('Live Ladder'!P:P,K39)+COUNTIF('Live Ladder'!P:P,L39)+COUNTIF('Live Ladder'!P:P,M39)+COUNTIF('Live Ladder'!P:P,N39)+COUNTIF('Live Ladder'!P:P,O39)+COUNTIF('Live Ladder'!P:P,P39))</f>
        <v>2</v>
      </c>
      <c r="U39" s="1">
        <f>IF(I39="","",IF(COUNTIF('Live Ladder'!P:P,Engine!Q39)=1,2,IF(COUNTIF('Live Ladder'!Q:Q,Engine!Q39)=1,-2,0)))</f>
        <v>-2</v>
      </c>
      <c r="V39" s="1">
        <f>IF(I39="","",IF(T39=Data!S$3,2,0))</f>
        <v>0</v>
      </c>
      <c r="W39" s="1">
        <f t="shared" si="11"/>
        <v>0</v>
      </c>
      <c r="X39" s="1">
        <f>IF(I39="",AE$2,IF(I39='Live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68</v>
      </c>
      <c r="Y39">
        <f t="shared" si="15"/>
        <v>13</v>
      </c>
      <c r="Z39">
        <f t="shared" si="12"/>
        <v>496</v>
      </c>
      <c r="AA39" s="111">
        <f t="shared" si="13"/>
        <v>13.004960056</v>
      </c>
      <c r="AB39">
        <f t="shared" si="6"/>
        <v>0</v>
      </c>
      <c r="AC39">
        <f>IF(I39="","",IF(I39='Live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68</v>
      </c>
      <c r="AF39">
        <f>IF(I39="","",IF(Q39="",0,IF(AND(Q39&gt;0,COUNTIF('Stats Calculator'!$T$24:$AA$24,Q39)=1),HLOOKUP(Q39,'Stats Calculator'!$T$24:$AA$27,4,FALSE),IF(AND(Q39&gt;0,COUNTIF('Stats Calculator'!$T$25:$AA$25,Q39)=1),HLOOKUP(Q39,'Stats Calculator'!$T$25:$AA$27,3,FALSE)))))</f>
        <v>3</v>
      </c>
      <c r="AG39">
        <f>IF(I39="","",COUNTIF(I39,'Stats Calculator'!E$31)+COUNTIF(J39,'Stats Calculator'!E$32)+COUNTIF(K39,'Stats Calculator'!E$33)+COUNTIF(L39,'Stats Calculator'!E$34)+COUNTIF(M39,'Stats Calculator'!E$35)+COUNTIF(N39,'Stats Calculator'!E$36)+COUNTIF(O39,'Stats Calculator'!E$37)+COUNTIF(P39,'Stats Calculator'!E$38)-8+Data!S$3)</f>
        <v>2</v>
      </c>
      <c r="AH39">
        <f>IF(I39="","",IF(Q39="",0,IF(Q39=0,0,IF(VLOOKUP(Engine!AF39,'Stats Calculator'!B$31:E$38,4,FALSE)="",0,IF(VLOOKUP(Engine!AF39,'Stats Calculator'!B$31:E$38,4,FALSE)=Q39,2,-2)))))</f>
        <v>-2</v>
      </c>
      <c r="AI39">
        <f>IF(I39="","",Data!S$3-COUNTA('Stats Calculator'!E$31:E$38))</f>
        <v>5</v>
      </c>
      <c r="AJ39">
        <f>IF(I39="","",IF(AF39=0,0,IF(VLOOKUP(AF39,'Stats Calculator'!B$31:E$38,4,FALSE)&gt;0,0,2)))</f>
        <v>0</v>
      </c>
      <c r="AK39">
        <f>IF(I39="","",IF(Data!S$3-Engine!AI39=AG39,2,0))</f>
        <v>0</v>
      </c>
      <c r="AL39">
        <f t="shared" si="14"/>
        <v>5</v>
      </c>
    </row>
    <row r="40" spans="1:38" x14ac:dyDescent="0.35">
      <c r="A40">
        <v>39</v>
      </c>
      <c r="B40">
        <f t="shared" si="16"/>
        <v>37</v>
      </c>
      <c r="C40" s="111">
        <f t="shared" si="8"/>
        <v>10.004580055</v>
      </c>
      <c r="D40">
        <f t="shared" si="17"/>
        <v>37</v>
      </c>
      <c r="E40" s="3" t="str">
        <f t="shared" si="9"/>
        <v>u</v>
      </c>
      <c r="F40" t="str">
        <f t="shared" si="10"/>
        <v/>
      </c>
      <c r="G40">
        <v>55</v>
      </c>
      <c r="H40" t="str">
        <f>Data!A41</f>
        <v>Shagger</v>
      </c>
      <c r="I40" s="2" t="str">
        <f>Data!C41</f>
        <v>Bulldogs</v>
      </c>
      <c r="J40" s="2" t="str">
        <f>Data!D41</f>
        <v>Panthers</v>
      </c>
      <c r="K40" s="2" t="str">
        <f>Data!E41</f>
        <v>Storm</v>
      </c>
      <c r="L40" s="2" t="str">
        <f>IF(Data!$S$3&lt;Engine!L$1,0,Data!F41)</f>
        <v>Warriors</v>
      </c>
      <c r="M40" s="2" t="str">
        <f>IF(Data!$S$3&lt;Engine!M$1,0,Data!G41)</f>
        <v>Sharks</v>
      </c>
      <c r="N40" s="2" t="str">
        <f>IF(Data!$S$3&lt;Engine!N$1,0,Data!H41)</f>
        <v>Wests Tigers</v>
      </c>
      <c r="O40" s="2" t="str">
        <f>IF(Data!$S$3&lt;Engine!O$1,0,Data!I41)</f>
        <v>Eels</v>
      </c>
      <c r="P40" s="2" t="str">
        <f>IF(Data!$S$3&lt;Engine!P$1,0,Data!J41)</f>
        <v>Cowboys</v>
      </c>
      <c r="Q40" s="11" t="str">
        <f>IF(Data!B41=1,Data!K41,"No Tips")</f>
        <v>Storm</v>
      </c>
      <c r="R40" s="2">
        <f>Data!L41</f>
        <v>10</v>
      </c>
      <c r="S40" s="2">
        <f>Data!M41</f>
        <v>458</v>
      </c>
      <c r="T40" s="1">
        <f>IF(I40="","",COUNTIF('Live Ladder'!P:P,I40)+COUNTIF('Live Ladder'!P:P,J40)+COUNTIF('Live Ladder'!P:P,K40)+COUNTIF('Live Ladder'!P:P,L40)+COUNTIF('Live Ladder'!P:P,M40)+COUNTIF('Live Ladder'!P:P,N40)+COUNTIF('Live Ladder'!P:P,O40)+COUNTIF('Live Ladder'!P:P,P40))</f>
        <v>2</v>
      </c>
      <c r="U40" s="1">
        <f>IF(I40="","",IF(COUNTIF('Live Ladder'!P:P,Engine!Q40)=1,2,IF(COUNTIF('Live Ladder'!Q:Q,Engine!Q40)=1,-2,0)))</f>
        <v>-2</v>
      </c>
      <c r="V40" s="1">
        <f>IF(I40="","",IF(T40=Data!S$3,2,0))</f>
        <v>0</v>
      </c>
      <c r="W40" s="1">
        <f t="shared" si="11"/>
        <v>0</v>
      </c>
      <c r="X40" s="1">
        <f>IF(I40="",AE$2,IF(I40='Live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68</v>
      </c>
      <c r="Y40">
        <f t="shared" si="15"/>
        <v>10</v>
      </c>
      <c r="Z40">
        <f t="shared" si="12"/>
        <v>526</v>
      </c>
      <c r="AA40" s="111">
        <f t="shared" si="13"/>
        <v>10.005260054999999</v>
      </c>
      <c r="AB40">
        <f t="shared" si="6"/>
        <v>0</v>
      </c>
      <c r="AC40">
        <f>IF(I40="","",IF(I40='Live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68</v>
      </c>
      <c r="AF40">
        <f>IF(I40="","",IF(Q40="",0,IF(AND(Q40&gt;0,COUNTIF('Stats Calculator'!$T$24:$AA$24,Q40)=1),HLOOKUP(Q40,'Stats Calculator'!$T$24:$AA$27,4,FALSE),IF(AND(Q40&gt;0,COUNTIF('Stats Calculator'!$T$25:$AA$25,Q40)=1),HLOOKUP(Q40,'Stats Calculator'!$T$25:$AA$27,3,FALSE)))))</f>
        <v>3</v>
      </c>
      <c r="AG40">
        <f>IF(I40="","",COUNTIF(I40,'Stats Calculator'!E$31)+COUNTIF(J40,'Stats Calculator'!E$32)+COUNTIF(K40,'Stats Calculator'!E$33)+COUNTIF(L40,'Stats Calculator'!E$34)+COUNTIF(M40,'Stats Calculator'!E$35)+COUNTIF(N40,'Stats Calculator'!E$36)+COUNTIF(O40,'Stats Calculator'!E$37)+COUNTIF(P40,'Stats Calculator'!E$38)-8+Data!S$3)</f>
        <v>2</v>
      </c>
      <c r="AH40">
        <f>IF(I40="","",IF(Q40="",0,IF(Q40=0,0,IF(VLOOKUP(Engine!AF40,'Stats Calculator'!B$31:E$38,4,FALSE)="",0,IF(VLOOKUP(Engine!AF40,'Stats Calculator'!B$31:E$38,4,FALSE)=Q40,2,-2)))))</f>
        <v>-2</v>
      </c>
      <c r="AI40">
        <f>IF(I40="","",Data!S$3-COUNTA('Stats Calculator'!E$31:E$38))</f>
        <v>5</v>
      </c>
      <c r="AJ40">
        <f>IF(I40="","",IF(AF40=0,0,IF(VLOOKUP(AF40,'Stats Calculator'!B$31:E$38,4,FALSE)&gt;0,0,2)))</f>
        <v>0</v>
      </c>
      <c r="AK40">
        <f>IF(I40="","",IF(Data!S$3-Engine!AI40=AG40,2,0))</f>
        <v>0</v>
      </c>
      <c r="AL40">
        <f t="shared" si="14"/>
        <v>5</v>
      </c>
    </row>
    <row r="41" spans="1:38" x14ac:dyDescent="0.35">
      <c r="A41">
        <v>40</v>
      </c>
      <c r="B41">
        <f t="shared" si="16"/>
        <v>44</v>
      </c>
      <c r="C41" s="111">
        <f t="shared" si="8"/>
        <v>8.0042400539999985</v>
      </c>
      <c r="D41">
        <f t="shared" si="17"/>
        <v>45</v>
      </c>
      <c r="E41" s="3" t="str">
        <f t="shared" si="9"/>
        <v>q</v>
      </c>
      <c r="F41">
        <f t="shared" si="10"/>
        <v>1</v>
      </c>
      <c r="G41">
        <v>54</v>
      </c>
      <c r="H41" t="str">
        <f>Data!A42</f>
        <v>SMOG</v>
      </c>
      <c r="I41" s="2" t="str">
        <f>Data!C42</f>
        <v>Raiders</v>
      </c>
      <c r="J41" s="2" t="str">
        <f>Data!D42</f>
        <v>Panthers</v>
      </c>
      <c r="K41" s="2" t="str">
        <f>Data!E42</f>
        <v>Storm</v>
      </c>
      <c r="L41" s="2" t="str">
        <f>IF(Data!$S$3&lt;Engine!L$1,0,Data!F42)</f>
        <v>Warriors</v>
      </c>
      <c r="M41" s="2" t="str">
        <f>IF(Data!$S$3&lt;Engine!M$1,0,Data!G42)</f>
        <v>Sharks</v>
      </c>
      <c r="N41" s="2" t="str">
        <f>IF(Data!$S$3&lt;Engine!N$1,0,Data!H42)</f>
        <v>Rabbitohs</v>
      </c>
      <c r="O41" s="2" t="str">
        <f>IF(Data!$S$3&lt;Engine!O$1,0,Data!I42)</f>
        <v>Eels</v>
      </c>
      <c r="P41" s="2" t="str">
        <f>IF(Data!$S$3&lt;Engine!P$1,0,Data!J42)</f>
        <v>Cowboys</v>
      </c>
      <c r="Q41" s="11" t="str">
        <f>IF(Data!B42=1,Data!K42,"No Tips")</f>
        <v>Warriors</v>
      </c>
      <c r="R41" s="2">
        <f>Data!L42</f>
        <v>8</v>
      </c>
      <c r="S41" s="2">
        <f>Data!M42</f>
        <v>424</v>
      </c>
      <c r="T41" s="1">
        <f>IF(I41="","",COUNTIF('Live Ladder'!P:P,I41)+COUNTIF('Live Ladder'!P:P,J41)+COUNTIF('Live Ladder'!P:P,K41)+COUNTIF('Live Ladder'!P:P,L41)+COUNTIF('Live Ladder'!P:P,M41)+COUNTIF('Live Ladder'!P:P,N41)+COUNTIF('Live Ladder'!P:P,O41)+COUNTIF('Live Ladder'!P:P,P41))</f>
        <v>1</v>
      </c>
      <c r="U41" s="1">
        <f>IF(I41="","",IF(COUNTIF('Live Ladder'!P:P,Engine!Q41)=1,2,IF(COUNTIF('Live Ladder'!Q:Q,Engine!Q41)=1,-2,0)))</f>
        <v>0</v>
      </c>
      <c r="V41" s="1">
        <f>IF(I41="","",IF(T41=Data!S$3,2,0))</f>
        <v>0</v>
      </c>
      <c r="W41" s="1">
        <f t="shared" si="11"/>
        <v>1</v>
      </c>
      <c r="X41" s="1">
        <f>IF(I41="",AE$2,IF(I41='Live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64</v>
      </c>
      <c r="Y41">
        <f t="shared" si="15"/>
        <v>9</v>
      </c>
      <c r="Z41">
        <f t="shared" si="12"/>
        <v>488</v>
      </c>
      <c r="AA41" s="111">
        <f t="shared" si="13"/>
        <v>9.0048800539999991</v>
      </c>
      <c r="AB41">
        <f t="shared" si="6"/>
        <v>1</v>
      </c>
      <c r="AC41">
        <f>IF(I41="","",IF(I41='Live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64</v>
      </c>
      <c r="AF41">
        <f>IF(I41="","",IF(Q41="",0,IF(AND(Q41&gt;0,COUNTIF('Stats Calculator'!$T$24:$AA$24,Q41)=1),HLOOKUP(Q41,'Stats Calculator'!$T$24:$AA$27,4,FALSE),IF(AND(Q41&gt;0,COUNTIF('Stats Calculator'!$T$25:$AA$25,Q41)=1),HLOOKUP(Q41,'Stats Calculator'!$T$25:$AA$27,3,FALSE)))))</f>
        <v>4</v>
      </c>
      <c r="AG41">
        <f>IF(I41="","",COUNTIF(I41,'Stats Calculator'!E$31)+COUNTIF(J41,'Stats Calculator'!E$32)+COUNTIF(K41,'Stats Calculator'!E$33)+COUNTIF(L41,'Stats Calculator'!E$34)+COUNTIF(M41,'Stats Calculator'!E$35)+COUNTIF(N41,'Stats Calculator'!E$36)+COUNTIF(O41,'Stats Calculator'!E$37)+COUNTIF(P41,'Stats Calculator'!E$38)-8+Data!S$3)</f>
        <v>1</v>
      </c>
      <c r="AH41">
        <f>IF(I41="","",IF(Q41="",0,IF(Q41=0,0,IF(VLOOKUP(Engine!AF41,'Stats Calculator'!B$31:E$38,4,FALSE)="",0,IF(VLOOKUP(Engine!AF41,'Stats Calculator'!B$31:E$38,4,FALSE)=Q41,2,-2)))))</f>
        <v>0</v>
      </c>
      <c r="AI41">
        <f>IF(I41="","",Data!S$3-COUNTA('Stats Calculator'!E$31:E$38))</f>
        <v>5</v>
      </c>
      <c r="AJ41">
        <f>IF(I41="","",IF(AF41=0,0,IF(VLOOKUP(AF41,'Stats Calculator'!B$31:E$38,4,FALSE)&gt;0,0,2)))</f>
        <v>2</v>
      </c>
      <c r="AK41">
        <f>IF(I41="","",IF(Data!S$3-Engine!AI41=AG41,2,0))</f>
        <v>0</v>
      </c>
      <c r="AL41">
        <f t="shared" si="14"/>
        <v>8</v>
      </c>
    </row>
    <row r="42" spans="1:38" x14ac:dyDescent="0.35">
      <c r="A42">
        <v>41</v>
      </c>
      <c r="B42">
        <f t="shared" si="16"/>
        <v>50</v>
      </c>
      <c r="C42" s="111">
        <f t="shared" si="8"/>
        <v>4.0028200529999998</v>
      </c>
      <c r="D42">
        <f t="shared" si="17"/>
        <v>50</v>
      </c>
      <c r="E42" s="3" t="str">
        <f t="shared" si="9"/>
        <v>u</v>
      </c>
      <c r="F42" t="str">
        <f t="shared" si="10"/>
        <v/>
      </c>
      <c r="G42">
        <v>53</v>
      </c>
      <c r="H42" t="str">
        <f>Data!A43</f>
        <v>Splinter</v>
      </c>
      <c r="I42" s="2" t="str">
        <f>Data!C43</f>
        <v>Raiders</v>
      </c>
      <c r="J42" s="2" t="str">
        <f>Data!D43</f>
        <v>Roosters</v>
      </c>
      <c r="K42" s="2" t="str">
        <f>Data!E43</f>
        <v>Storm</v>
      </c>
      <c r="L42" s="2" t="str">
        <f>IF(Data!$S$3&lt;Engine!L$1,0,Data!F43)</f>
        <v>Warriors</v>
      </c>
      <c r="M42" s="2" t="str">
        <f>IF(Data!$S$3&lt;Engine!M$1,0,Data!G43)</f>
        <v>Dolphins</v>
      </c>
      <c r="N42" s="2" t="str">
        <f>IF(Data!$S$3&lt;Engine!N$1,0,Data!H43)</f>
        <v>Rabbitohs</v>
      </c>
      <c r="O42" s="2" t="str">
        <f>IF(Data!$S$3&lt;Engine!O$1,0,Data!I43)</f>
        <v>Dragons</v>
      </c>
      <c r="P42" s="2" t="str">
        <f>IF(Data!$S$3&lt;Engine!P$1,0,Data!J43)</f>
        <v>Titans</v>
      </c>
      <c r="Q42" s="11" t="str">
        <f>IF(Data!B43=1,Data!K43,"No Tips")</f>
        <v>Storm</v>
      </c>
      <c r="R42" s="2">
        <f>Data!L43</f>
        <v>4</v>
      </c>
      <c r="S42" s="2">
        <f>Data!M43</f>
        <v>282</v>
      </c>
      <c r="T42" s="1">
        <f>IF(I42="","",COUNTIF('Live Ladder'!P:P,I42)+COUNTIF('Live Ladder'!P:P,J42)+COUNTIF('Live Ladder'!P:P,K42)+COUNTIF('Live Ladder'!P:P,L42)+COUNTIF('Live Ladder'!P:P,M42)+COUNTIF('Live Ladder'!P:P,N42)+COUNTIF('Live Ladder'!P:P,O42)+COUNTIF('Live Ladder'!P:P,P42))</f>
        <v>0</v>
      </c>
      <c r="U42" s="1">
        <f>IF(I42="","",IF(COUNTIF('Live Ladder'!P:P,Engine!Q42)=1,2,IF(COUNTIF('Live Ladder'!Q:Q,Engine!Q42)=1,-2,0)))</f>
        <v>-2</v>
      </c>
      <c r="V42" s="1">
        <f>IF(I42="","",IF(T42=Data!S$3,2,0))</f>
        <v>0</v>
      </c>
      <c r="W42" s="1">
        <f t="shared" si="11"/>
        <v>-2</v>
      </c>
      <c r="X42" s="1">
        <f>IF(I42="",AE$2,IF(I42='Live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28</v>
      </c>
      <c r="Y42">
        <f t="shared" si="15"/>
        <v>2</v>
      </c>
      <c r="Z42">
        <f t="shared" si="12"/>
        <v>310</v>
      </c>
      <c r="AA42" s="111">
        <f t="shared" si="13"/>
        <v>2.0031000529999998</v>
      </c>
      <c r="AB42">
        <f t="shared" si="6"/>
        <v>-2</v>
      </c>
      <c r="AC42">
        <f>IF(I42="","",IF(I42='Live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28</v>
      </c>
      <c r="AF42">
        <f>IF(I42="","",IF(Q42="",0,IF(AND(Q42&gt;0,COUNTIF('Stats Calculator'!$T$24:$AA$24,Q42)=1),HLOOKUP(Q42,'Stats Calculator'!$T$24:$AA$27,4,FALSE),IF(AND(Q42&gt;0,COUNTIF('Stats Calculator'!$T$25:$AA$25,Q42)=1),HLOOKUP(Q42,'Stats Calculator'!$T$25:$AA$27,3,FALSE)))))</f>
        <v>3</v>
      </c>
      <c r="AG42">
        <f>IF(I42="","",COUNTIF(I42,'Stats Calculator'!E$31)+COUNTIF(J42,'Stats Calculator'!E$32)+COUNTIF(K42,'Stats Calculator'!E$33)+COUNTIF(L42,'Stats Calculator'!E$34)+COUNTIF(M42,'Stats Calculator'!E$35)+COUNTIF(N42,'Stats Calculator'!E$36)+COUNTIF(O42,'Stats Calculator'!E$37)+COUNTIF(P42,'Stats Calculator'!E$38)-8+Data!S$3)</f>
        <v>0</v>
      </c>
      <c r="AH42">
        <f>IF(I42="","",IF(Q42="",0,IF(Q42=0,0,IF(VLOOKUP(Engine!AF42,'Stats Calculator'!B$31:E$38,4,FALSE)="",0,IF(VLOOKUP(Engine!AF42,'Stats Calculator'!B$31:E$38,4,FALSE)=Q42,2,-2)))))</f>
        <v>-2</v>
      </c>
      <c r="AI42">
        <f>IF(I42="","",Data!S$3-COUNTA('Stats Calculator'!E$31:E$38))</f>
        <v>5</v>
      </c>
      <c r="AJ42">
        <f>IF(I42="","",IF(AF42=0,0,IF(VLOOKUP(AF42,'Stats Calculator'!B$31:E$38,4,FALSE)&gt;0,0,2)))</f>
        <v>0</v>
      </c>
      <c r="AK42">
        <f>IF(I42="","",IF(Data!S$3-Engine!AI42=AG42,2,0))</f>
        <v>0</v>
      </c>
      <c r="AL42">
        <f t="shared" si="14"/>
        <v>3</v>
      </c>
    </row>
    <row r="43" spans="1:38" x14ac:dyDescent="0.35">
      <c r="A43">
        <v>42</v>
      </c>
      <c r="B43">
        <f t="shared" si="16"/>
        <v>24</v>
      </c>
      <c r="C43" s="111">
        <f t="shared" si="8"/>
        <v>12.005040052</v>
      </c>
      <c r="D43">
        <f t="shared" si="17"/>
        <v>29</v>
      </c>
      <c r="E43" s="3" t="str">
        <f t="shared" si="9"/>
        <v>q</v>
      </c>
      <c r="F43">
        <f t="shared" si="10"/>
        <v>5</v>
      </c>
      <c r="G43">
        <v>52</v>
      </c>
      <c r="H43" t="str">
        <f>Data!A44</f>
        <v>Stallion</v>
      </c>
      <c r="I43" s="2" t="str">
        <f>Data!C44</f>
        <v>Bulldogs</v>
      </c>
      <c r="J43" s="2" t="str">
        <f>Data!D44</f>
        <v>Panthers</v>
      </c>
      <c r="K43" s="2" t="str">
        <f>Data!E44</f>
        <v>Storm</v>
      </c>
      <c r="L43" s="2" t="str">
        <f>IF(Data!$S$3&lt;Engine!L$1,0,Data!F44)</f>
        <v>Warriors</v>
      </c>
      <c r="M43" s="2" t="str">
        <f>IF(Data!$S$3&lt;Engine!M$1,0,Data!G44)</f>
        <v>Sharks</v>
      </c>
      <c r="N43" s="2" t="str">
        <f>IF(Data!$S$3&lt;Engine!N$1,0,Data!H44)</f>
        <v>Wests Tigers</v>
      </c>
      <c r="O43" s="2" t="str">
        <f>IF(Data!$S$3&lt;Engine!O$1,0,Data!I44)</f>
        <v>Dragons</v>
      </c>
      <c r="P43" s="2" t="str">
        <f>IF(Data!$S$3&lt;Engine!P$1,0,Data!J44)</f>
        <v>Cowboys</v>
      </c>
      <c r="Q43" s="11" t="str">
        <f>IF(Data!B44=1,Data!K44,"No Tips")</f>
        <v>Storm</v>
      </c>
      <c r="R43" s="2">
        <f>Data!L44</f>
        <v>12</v>
      </c>
      <c r="S43" s="2">
        <f>Data!M44</f>
        <v>504</v>
      </c>
      <c r="T43" s="1">
        <f>IF(I43="","",COUNTIF('Live Ladder'!P:P,I43)+COUNTIF('Live Ladder'!P:P,J43)+COUNTIF('Live Ladder'!P:P,K43)+COUNTIF('Live Ladder'!P:P,L43)+COUNTIF('Live Ladder'!P:P,M43)+COUNTIF('Live Ladder'!P:P,N43)+COUNTIF('Live Ladder'!P:P,O43)+COUNTIF('Live Ladder'!P:P,P43))</f>
        <v>2</v>
      </c>
      <c r="U43" s="1">
        <f>IF(I43="","",IF(COUNTIF('Live Ladder'!P:P,Engine!Q43)=1,2,IF(COUNTIF('Live Ladder'!Q:Q,Engine!Q43)=1,-2,0)))</f>
        <v>-2</v>
      </c>
      <c r="V43" s="1">
        <f>IF(I43="","",IF(T43=Data!S$3,2,0))</f>
        <v>0</v>
      </c>
      <c r="W43" s="1">
        <f t="shared" si="11"/>
        <v>0</v>
      </c>
      <c r="X43" s="1">
        <f>IF(I43="",AE$2,IF(I43='Live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68</v>
      </c>
      <c r="Y43">
        <f t="shared" si="15"/>
        <v>12</v>
      </c>
      <c r="Z43">
        <f t="shared" si="12"/>
        <v>572</v>
      </c>
      <c r="AA43" s="111">
        <f t="shared" si="13"/>
        <v>12.005720052000001</v>
      </c>
      <c r="AB43">
        <f t="shared" si="6"/>
        <v>0</v>
      </c>
      <c r="AC43">
        <f>IF(I43="","",IF(I43='Live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68</v>
      </c>
      <c r="AF43">
        <f>IF(I43="","",IF(Q43="",0,IF(AND(Q43&gt;0,COUNTIF('Stats Calculator'!$T$24:$AA$24,Q43)=1),HLOOKUP(Q43,'Stats Calculator'!$T$24:$AA$27,4,FALSE),IF(AND(Q43&gt;0,COUNTIF('Stats Calculator'!$T$25:$AA$25,Q43)=1),HLOOKUP(Q43,'Stats Calculator'!$T$25:$AA$27,3,FALSE)))))</f>
        <v>3</v>
      </c>
      <c r="AG43">
        <f>IF(I43="","",COUNTIF(I43,'Stats Calculator'!E$31)+COUNTIF(J43,'Stats Calculator'!E$32)+COUNTIF(K43,'Stats Calculator'!E$33)+COUNTIF(L43,'Stats Calculator'!E$34)+COUNTIF(M43,'Stats Calculator'!E$35)+COUNTIF(N43,'Stats Calculator'!E$36)+COUNTIF(O43,'Stats Calculator'!E$37)+COUNTIF(P43,'Stats Calculator'!E$38)-8+Data!S$3)</f>
        <v>2</v>
      </c>
      <c r="AH43">
        <f>IF(I43="","",IF(Q43="",0,IF(Q43=0,0,IF(VLOOKUP(Engine!AF43,'Stats Calculator'!B$31:E$38,4,FALSE)="",0,IF(VLOOKUP(Engine!AF43,'Stats Calculator'!B$31:E$38,4,FALSE)=Q43,2,-2)))))</f>
        <v>-2</v>
      </c>
      <c r="AI43">
        <f>IF(I43="","",Data!S$3-COUNTA('Stats Calculator'!E$31:E$38))</f>
        <v>5</v>
      </c>
      <c r="AJ43">
        <f>IF(I43="","",IF(AF43=0,0,IF(VLOOKUP(AF43,'Stats Calculator'!B$31:E$38,4,FALSE)&gt;0,0,2)))</f>
        <v>0</v>
      </c>
      <c r="AK43">
        <f>IF(I43="","",IF(Data!S$3-Engine!AI43=AG43,2,0))</f>
        <v>0</v>
      </c>
      <c r="AL43">
        <f t="shared" si="14"/>
        <v>5</v>
      </c>
    </row>
    <row r="44" spans="1:38" x14ac:dyDescent="0.35">
      <c r="A44">
        <v>43</v>
      </c>
      <c r="B44">
        <f t="shared" si="16"/>
        <v>8</v>
      </c>
      <c r="C44" s="111">
        <f t="shared" si="8"/>
        <v>15.004620051</v>
      </c>
      <c r="D44">
        <f t="shared" si="17"/>
        <v>15</v>
      </c>
      <c r="E44" s="3" t="str">
        <f t="shared" si="9"/>
        <v>q</v>
      </c>
      <c r="F44">
        <f t="shared" si="10"/>
        <v>7</v>
      </c>
      <c r="G44">
        <v>51</v>
      </c>
      <c r="H44" t="str">
        <f>Data!A45</f>
        <v>The Creator</v>
      </c>
      <c r="I44" s="2" t="str">
        <f>Data!C45</f>
        <v>Raiders</v>
      </c>
      <c r="J44" s="2" t="str">
        <f>Data!D45</f>
        <v>Panthers</v>
      </c>
      <c r="K44" s="2" t="str">
        <f>Data!E45</f>
        <v>Storm</v>
      </c>
      <c r="L44" s="2" t="str">
        <f>IF(Data!$S$3&lt;Engine!L$1,0,Data!F45)</f>
        <v>Warriors</v>
      </c>
      <c r="M44" s="2" t="str">
        <f>IF(Data!$S$3&lt;Engine!M$1,0,Data!G45)</f>
        <v>Sharks</v>
      </c>
      <c r="N44" s="2" t="str">
        <f>IF(Data!$S$3&lt;Engine!N$1,0,Data!H45)</f>
        <v>Rabbitohs</v>
      </c>
      <c r="O44" s="2" t="str">
        <f>IF(Data!$S$3&lt;Engine!O$1,0,Data!I45)</f>
        <v>Eels</v>
      </c>
      <c r="P44" s="2" t="str">
        <f>IF(Data!$S$3&lt;Engine!P$1,0,Data!J45)</f>
        <v>Cowboys</v>
      </c>
      <c r="Q44" s="11" t="str">
        <f>IF(Data!B45=1,Data!K45,"No Tips")</f>
        <v>Storm</v>
      </c>
      <c r="R44" s="2">
        <f>Data!L45</f>
        <v>15</v>
      </c>
      <c r="S44" s="2">
        <f>Data!M45</f>
        <v>462</v>
      </c>
      <c r="T44" s="1">
        <f>IF(I44="","",COUNTIF('Live Ladder'!P:P,I44)+COUNTIF('Live Ladder'!P:P,J44)+COUNTIF('Live Ladder'!P:P,K44)+COUNTIF('Live Ladder'!P:P,L44)+COUNTIF('Live Ladder'!P:P,M44)+COUNTIF('Live Ladder'!P:P,N44)+COUNTIF('Live Ladder'!P:P,O44)+COUNTIF('Live Ladder'!P:P,P44))</f>
        <v>1</v>
      </c>
      <c r="U44" s="1">
        <f>IF(I44="","",IF(COUNTIF('Live Ladder'!P:P,Engine!Q44)=1,2,IF(COUNTIF('Live Ladder'!Q:Q,Engine!Q44)=1,-2,0)))</f>
        <v>-2</v>
      </c>
      <c r="V44" s="1">
        <f>IF(I44="","",IF(T44=Data!S$3,2,0))</f>
        <v>0</v>
      </c>
      <c r="W44" s="1">
        <f t="shared" si="11"/>
        <v>-1</v>
      </c>
      <c r="X44" s="1">
        <f>IF(I44="",AE$2,IF(I44='Live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64</v>
      </c>
      <c r="Y44">
        <f t="shared" si="15"/>
        <v>14</v>
      </c>
      <c r="Z44">
        <f t="shared" si="12"/>
        <v>526</v>
      </c>
      <c r="AA44" s="111">
        <f t="shared" si="13"/>
        <v>14.005260051</v>
      </c>
      <c r="AB44">
        <f t="shared" si="6"/>
        <v>-1</v>
      </c>
      <c r="AC44">
        <f>IF(I44="","",IF(I44='Live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64</v>
      </c>
      <c r="AF44">
        <f>IF(I44="","",IF(Q44="",0,IF(AND(Q44&gt;0,COUNTIF('Stats Calculator'!$T$24:$AA$24,Q44)=1),HLOOKUP(Q44,'Stats Calculator'!$T$24:$AA$27,4,FALSE),IF(AND(Q44&gt;0,COUNTIF('Stats Calculator'!$T$25:$AA$25,Q44)=1),HLOOKUP(Q44,'Stats Calculator'!$T$25:$AA$27,3,FALSE)))))</f>
        <v>3</v>
      </c>
      <c r="AG44">
        <f>IF(I44="","",COUNTIF(I44,'Stats Calculator'!E$31)+COUNTIF(J44,'Stats Calculator'!E$32)+COUNTIF(K44,'Stats Calculator'!E$33)+COUNTIF(L44,'Stats Calculator'!E$34)+COUNTIF(M44,'Stats Calculator'!E$35)+COUNTIF(N44,'Stats Calculator'!E$36)+COUNTIF(O44,'Stats Calculator'!E$37)+COUNTIF(P44,'Stats Calculator'!E$38)-8+Data!S$3)</f>
        <v>1</v>
      </c>
      <c r="AH44">
        <f>IF(I44="","",IF(Q44="",0,IF(Q44=0,0,IF(VLOOKUP(Engine!AF44,'Stats Calculator'!B$31:E$38,4,FALSE)="",0,IF(VLOOKUP(Engine!AF44,'Stats Calculator'!B$31:E$38,4,FALSE)=Q44,2,-2)))))</f>
        <v>-2</v>
      </c>
      <c r="AI44">
        <f>IF(I44="","",Data!S$3-COUNTA('Stats Calculator'!E$31:E$38))</f>
        <v>5</v>
      </c>
      <c r="AJ44">
        <f>IF(I44="","",IF(AF44=0,0,IF(VLOOKUP(AF44,'Stats Calculator'!B$31:E$38,4,FALSE)&gt;0,0,2)))</f>
        <v>0</v>
      </c>
      <c r="AK44">
        <f>IF(I44="","",IF(Data!S$3-Engine!AI44=AG44,2,0))</f>
        <v>0</v>
      </c>
      <c r="AL44">
        <f t="shared" si="14"/>
        <v>4</v>
      </c>
    </row>
    <row r="45" spans="1:38" x14ac:dyDescent="0.35">
      <c r="A45">
        <v>44</v>
      </c>
      <c r="B45">
        <f t="shared" si="16"/>
        <v>30</v>
      </c>
      <c r="C45" s="111">
        <f t="shared" si="8"/>
        <v>12.00404005</v>
      </c>
      <c r="D45">
        <f t="shared" si="17"/>
        <v>35</v>
      </c>
      <c r="E45" s="3" t="str">
        <f t="shared" si="9"/>
        <v>q</v>
      </c>
      <c r="F45">
        <f t="shared" si="10"/>
        <v>5</v>
      </c>
      <c r="G45">
        <v>50</v>
      </c>
      <c r="H45" t="str">
        <f>Data!A46</f>
        <v>TheZipZipMan</v>
      </c>
      <c r="I45" s="2" t="str">
        <f>Data!C46</f>
        <v>Raiders</v>
      </c>
      <c r="J45" s="2" t="str">
        <f>Data!D46</f>
        <v>Panthers</v>
      </c>
      <c r="K45" s="2" t="str">
        <f>Data!E46</f>
        <v>Storm</v>
      </c>
      <c r="L45" s="2" t="str">
        <f>IF(Data!$S$3&lt;Engine!L$1,0,Data!F46)</f>
        <v>Warriors</v>
      </c>
      <c r="M45" s="2" t="str">
        <f>IF(Data!$S$3&lt;Engine!M$1,0,Data!G46)</f>
        <v>Sharks</v>
      </c>
      <c r="N45" s="2" t="str">
        <f>IF(Data!$S$3&lt;Engine!N$1,0,Data!H46)</f>
        <v>Wests Tigers</v>
      </c>
      <c r="O45" s="2" t="str">
        <f>IF(Data!$S$3&lt;Engine!O$1,0,Data!I46)</f>
        <v>Eels</v>
      </c>
      <c r="P45" s="2" t="str">
        <f>IF(Data!$S$3&lt;Engine!P$1,0,Data!J46)</f>
        <v>Cowboys</v>
      </c>
      <c r="Q45" s="11" t="str">
        <f>IF(Data!B46=1,Data!K46,"No Tips")</f>
        <v>Storm</v>
      </c>
      <c r="R45" s="2">
        <f>Data!L46</f>
        <v>12</v>
      </c>
      <c r="S45" s="2">
        <f>Data!M46</f>
        <v>404</v>
      </c>
      <c r="T45" s="1">
        <f>IF(I45="","",COUNTIF('Live Ladder'!P:P,I45)+COUNTIF('Live Ladder'!P:P,J45)+COUNTIF('Live Ladder'!P:P,K45)+COUNTIF('Live Ladder'!P:P,L45)+COUNTIF('Live Ladder'!P:P,M45)+COUNTIF('Live Ladder'!P:P,N45)+COUNTIF('Live Ladder'!P:P,O45)+COUNTIF('Live Ladder'!P:P,P45))</f>
        <v>1</v>
      </c>
      <c r="U45" s="1">
        <f>IF(I45="","",IF(COUNTIF('Live Ladder'!P:P,Engine!Q45)=1,2,IF(COUNTIF('Live Ladder'!Q:Q,Engine!Q45)=1,-2,0)))</f>
        <v>-2</v>
      </c>
      <c r="V45" s="1">
        <f>IF(I45="","",IF(T45=Data!S$3,2,0))</f>
        <v>0</v>
      </c>
      <c r="W45" s="1">
        <f t="shared" si="11"/>
        <v>-1</v>
      </c>
      <c r="X45" s="1">
        <f>IF(I45="",AE$2,IF(I45='Live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64</v>
      </c>
      <c r="Y45">
        <f t="shared" si="15"/>
        <v>11</v>
      </c>
      <c r="Z45">
        <f t="shared" si="12"/>
        <v>468</v>
      </c>
      <c r="AA45" s="111">
        <f t="shared" si="13"/>
        <v>11.004680050000001</v>
      </c>
      <c r="AB45">
        <f t="shared" si="6"/>
        <v>-1</v>
      </c>
      <c r="AC45">
        <f>IF(I45="","",IF(I45='Live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64</v>
      </c>
      <c r="AF45">
        <f>IF(I45="","",IF(Q45="",0,IF(AND(Q45&gt;0,COUNTIF('Stats Calculator'!$T$24:$AA$24,Q45)=1),HLOOKUP(Q45,'Stats Calculator'!$T$24:$AA$27,4,FALSE),IF(AND(Q45&gt;0,COUNTIF('Stats Calculator'!$T$25:$AA$25,Q45)=1),HLOOKUP(Q45,'Stats Calculator'!$T$25:$AA$27,3,FALSE)))))</f>
        <v>3</v>
      </c>
      <c r="AG45">
        <f>IF(I45="","",COUNTIF(I45,'Stats Calculator'!E$31)+COUNTIF(J45,'Stats Calculator'!E$32)+COUNTIF(K45,'Stats Calculator'!E$33)+COUNTIF(L45,'Stats Calculator'!E$34)+COUNTIF(M45,'Stats Calculator'!E$35)+COUNTIF(N45,'Stats Calculator'!E$36)+COUNTIF(O45,'Stats Calculator'!E$37)+COUNTIF(P45,'Stats Calculator'!E$38)-8+Data!S$3)</f>
        <v>1</v>
      </c>
      <c r="AH45">
        <f>IF(I45="","",IF(Q45="",0,IF(Q45=0,0,IF(VLOOKUP(Engine!AF45,'Stats Calculator'!B$31:E$38,4,FALSE)="",0,IF(VLOOKUP(Engine!AF45,'Stats Calculator'!B$31:E$38,4,FALSE)=Q45,2,-2)))))</f>
        <v>-2</v>
      </c>
      <c r="AI45">
        <f>IF(I45="","",Data!S$3-COUNTA('Stats Calculator'!E$31:E$38))</f>
        <v>5</v>
      </c>
      <c r="AJ45">
        <f>IF(I45="","",IF(AF45=0,0,IF(VLOOKUP(AF45,'Stats Calculator'!B$31:E$38,4,FALSE)&gt;0,0,2)))</f>
        <v>0</v>
      </c>
      <c r="AK45">
        <f>IF(I45="","",IF(Data!S$3-Engine!AI45=AG45,2,0))</f>
        <v>0</v>
      </c>
      <c r="AL45">
        <f t="shared" si="14"/>
        <v>4</v>
      </c>
    </row>
    <row r="46" spans="1:38" s="10" customFormat="1" x14ac:dyDescent="0.35">
      <c r="A46" s="10">
        <v>45</v>
      </c>
      <c r="B46" s="10">
        <f t="shared" si="16"/>
        <v>3</v>
      </c>
      <c r="C46" s="111">
        <f t="shared" si="8"/>
        <v>16.004960049000001</v>
      </c>
      <c r="D46" s="10">
        <f t="shared" si="17"/>
        <v>2</v>
      </c>
      <c r="E46" s="106" t="str">
        <f t="shared" si="9"/>
        <v>p</v>
      </c>
      <c r="F46" s="10">
        <f t="shared" si="10"/>
        <v>1</v>
      </c>
      <c r="G46">
        <v>49</v>
      </c>
      <c r="H46" t="str">
        <f>Data!A47</f>
        <v>Timbo</v>
      </c>
      <c r="I46" s="2" t="str">
        <f>Data!C47</f>
        <v>Bulldogs</v>
      </c>
      <c r="J46" s="2" t="str">
        <f>Data!D47</f>
        <v>Panthers</v>
      </c>
      <c r="K46" s="2" t="str">
        <f>Data!E47</f>
        <v>Storm</v>
      </c>
      <c r="L46" s="2" t="str">
        <f>IF(Data!$S$3&lt;Engine!L$1,0,Data!F47)</f>
        <v>Warriors</v>
      </c>
      <c r="M46" s="2" t="str">
        <f>IF(Data!$S$3&lt;Engine!M$1,0,Data!G47)</f>
        <v>Sharks</v>
      </c>
      <c r="N46" s="2" t="str">
        <f>IF(Data!$S$3&lt;Engine!N$1,0,Data!H47)</f>
        <v>Rabbitohs</v>
      </c>
      <c r="O46" s="2" t="str">
        <f>IF(Data!$S$3&lt;Engine!O$1,0,Data!I47)</f>
        <v>Eels</v>
      </c>
      <c r="P46" s="2" t="str">
        <f>IF(Data!$S$3&lt;Engine!P$1,0,Data!J47)</f>
        <v>Cowboys</v>
      </c>
      <c r="Q46" s="11" t="str">
        <f>IF(Data!B47=1,Data!K47,"No Tips")</f>
        <v>Sharks</v>
      </c>
      <c r="R46" s="2">
        <f>Data!L47</f>
        <v>16</v>
      </c>
      <c r="S46" s="2">
        <f>Data!M47</f>
        <v>496</v>
      </c>
      <c r="T46" s="107">
        <f>IF(I46="","",COUNTIF('Live Ladder'!P:P,I46)+COUNTIF('Live Ladder'!P:P,J46)+COUNTIF('Live Ladder'!P:P,K46)+COUNTIF('Live Ladder'!P:P,L46)+COUNTIF('Live Ladder'!P:P,M46)+COUNTIF('Live Ladder'!P:P,N46)+COUNTIF('Live Ladder'!P:P,O46)+COUNTIF('Live Ladder'!P:P,P46))</f>
        <v>2</v>
      </c>
      <c r="U46" s="107">
        <f>IF(I46="","",IF(COUNTIF('Live Ladder'!P:P,Engine!Q46)=1,2,IF(COUNTIF('Live Ladder'!Q:Q,Engine!Q46)=1,-2,0)))</f>
        <v>0</v>
      </c>
      <c r="V46" s="107">
        <f>IF(I46="","",IF(T46=Data!S$3,2,0))</f>
        <v>0</v>
      </c>
      <c r="W46" s="107">
        <f t="shared" si="11"/>
        <v>2</v>
      </c>
      <c r="X46" s="107">
        <f>IF(I46="",AE$2,IF(I46='Live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68</v>
      </c>
      <c r="Y46" s="10">
        <f t="shared" si="15"/>
        <v>18</v>
      </c>
      <c r="Z46" s="10">
        <f t="shared" si="12"/>
        <v>564</v>
      </c>
      <c r="AA46" s="111">
        <f t="shared" si="13"/>
        <v>18.005640049</v>
      </c>
      <c r="AB46">
        <f t="shared" si="6"/>
        <v>2</v>
      </c>
      <c r="AC46" s="10">
        <f>IF(I46="","",IF(I46='Live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68</v>
      </c>
      <c r="AF46" s="10">
        <f>IF(I46="","",IF(Q46="",0,IF(AND(Q46&gt;0,COUNTIF('Stats Calculator'!$T$24:$AA$24,Q46)=1),HLOOKUP(Q46,'Stats Calculator'!$T$24:$AA$27,4,FALSE),IF(AND(Q46&gt;0,COUNTIF('Stats Calculator'!$T$25:$AA$25,Q46)=1),HLOOKUP(Q46,'Stats Calculator'!$T$25:$AA$27,3,FALSE)))))</f>
        <v>5</v>
      </c>
      <c r="AG46" s="10">
        <f>IF(I46="","",COUNTIF(I46,'Stats Calculator'!E$31)+COUNTIF(J46,'Stats Calculator'!E$32)+COUNTIF(K46,'Stats Calculator'!E$33)+COUNTIF(L46,'Stats Calculator'!E$34)+COUNTIF(M46,'Stats Calculator'!E$35)+COUNTIF(N46,'Stats Calculator'!E$36)+COUNTIF(O46,'Stats Calculator'!E$37)+COUNTIF(P46,'Stats Calculator'!E$38)-8+Data!S$3)</f>
        <v>2</v>
      </c>
      <c r="AH46" s="10">
        <f>IF(I46="","",IF(Q46="",0,IF(Q46=0,0,IF(VLOOKUP(Engine!AF46,'Stats Calculator'!B$31:E$38,4,FALSE)="",0,IF(VLOOKUP(Engine!AF46,'Stats Calculator'!B$31:E$38,4,FALSE)=Q46,2,-2)))))</f>
        <v>0</v>
      </c>
      <c r="AI46" s="10">
        <f>IF(I46="","",Data!S$3-COUNTA('Stats Calculator'!E$31:E$38))</f>
        <v>5</v>
      </c>
      <c r="AJ46" s="10">
        <f>IF(I46="","",IF(AF46=0,0,IF(VLOOKUP(AF46,'Stats Calculator'!B$31:E$38,4,FALSE)&gt;0,0,2)))</f>
        <v>2</v>
      </c>
      <c r="AK46" s="10">
        <f>IF(I46="","",IF(Data!S$3-Engine!AI46=AG46,2,0))</f>
        <v>0</v>
      </c>
      <c r="AL46" s="10">
        <f t="shared" si="14"/>
        <v>9</v>
      </c>
    </row>
    <row r="47" spans="1:38" x14ac:dyDescent="0.35">
      <c r="A47">
        <v>46</v>
      </c>
      <c r="B47">
        <f t="shared" si="16"/>
        <v>14</v>
      </c>
      <c r="C47" s="111">
        <f t="shared" si="8"/>
        <v>14.004580048000001</v>
      </c>
      <c r="D47">
        <f t="shared" si="17"/>
        <v>7</v>
      </c>
      <c r="E47" s="3" t="str">
        <f t="shared" si="9"/>
        <v>p</v>
      </c>
      <c r="F47">
        <f t="shared" si="10"/>
        <v>7</v>
      </c>
      <c r="G47">
        <v>48</v>
      </c>
      <c r="H47" t="str">
        <f>Data!A48</f>
        <v>UpthePamfers</v>
      </c>
      <c r="I47" s="2" t="str">
        <f>Data!C48</f>
        <v>Bulldogs</v>
      </c>
      <c r="J47" s="2" t="str">
        <f>Data!D48</f>
        <v>Panthers</v>
      </c>
      <c r="K47" s="2" t="str">
        <f>Data!E48</f>
        <v>Storm</v>
      </c>
      <c r="L47" s="2" t="str">
        <f>IF(Data!$S$3&lt;Engine!L$1,0,Data!F48)</f>
        <v>Warriors</v>
      </c>
      <c r="M47" s="2" t="str">
        <f>IF(Data!$S$3&lt;Engine!M$1,0,Data!G48)</f>
        <v>Sharks</v>
      </c>
      <c r="N47" s="2" t="str">
        <f>IF(Data!$S$3&lt;Engine!N$1,0,Data!H48)</f>
        <v>Rabbitohs</v>
      </c>
      <c r="O47" s="2" t="str">
        <f>IF(Data!$S$3&lt;Engine!O$1,0,Data!I48)</f>
        <v>Eels</v>
      </c>
      <c r="P47" s="2" t="str">
        <f>IF(Data!$S$3&lt;Engine!P$1,0,Data!J48)</f>
        <v>Cowboys</v>
      </c>
      <c r="Q47" s="11" t="str">
        <f>IF(Data!B48=1,Data!K48,"No Tips")</f>
        <v>Rabbitohs</v>
      </c>
      <c r="R47" s="2">
        <f>Data!L48</f>
        <v>14</v>
      </c>
      <c r="S47" s="2">
        <f>Data!M48</f>
        <v>458</v>
      </c>
      <c r="T47" s="1">
        <f>IF(I47="","",COUNTIF('Live Ladder'!P:P,I47)+COUNTIF('Live Ladder'!P:P,J47)+COUNTIF('Live Ladder'!P:P,K47)+COUNTIF('Live Ladder'!P:P,L47)+COUNTIF('Live Ladder'!P:P,M47)+COUNTIF('Live Ladder'!P:P,N47)+COUNTIF('Live Ladder'!P:P,O47)+COUNTIF('Live Ladder'!P:P,P47))</f>
        <v>2</v>
      </c>
      <c r="U47" s="1">
        <f>IF(I47="","",IF(COUNTIF('Live Ladder'!P:P,Engine!Q47)=1,2,IF(COUNTIF('Live Ladder'!Q:Q,Engine!Q47)=1,-2,0)))</f>
        <v>0</v>
      </c>
      <c r="V47" s="1">
        <f>IF(I47="","",IF(T47=Data!S$3,2,0))</f>
        <v>0</v>
      </c>
      <c r="W47" s="1">
        <f t="shared" si="11"/>
        <v>2</v>
      </c>
      <c r="X47" s="1">
        <f>IF(I47="",AE$2,IF(I47='Live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68</v>
      </c>
      <c r="Y47">
        <f t="shared" si="15"/>
        <v>16</v>
      </c>
      <c r="Z47">
        <f t="shared" si="12"/>
        <v>526</v>
      </c>
      <c r="AA47" s="111">
        <f t="shared" si="13"/>
        <v>16.005260048</v>
      </c>
      <c r="AB47">
        <f t="shared" si="6"/>
        <v>2</v>
      </c>
      <c r="AC47">
        <f>IF(I47="","",IF(I47='Live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68</v>
      </c>
      <c r="AF47">
        <f>IF(I47="","",IF(Q47="",0,IF(AND(Q47&gt;0,COUNTIF('Stats Calculator'!$T$24:$AA$24,Q47)=1),HLOOKUP(Q47,'Stats Calculator'!$T$24:$AA$27,4,FALSE),IF(AND(Q47&gt;0,COUNTIF('Stats Calculator'!$T$25:$AA$25,Q47)=1),HLOOKUP(Q47,'Stats Calculator'!$T$25:$AA$27,3,FALSE)))))</f>
        <v>6</v>
      </c>
      <c r="AG47">
        <f>IF(I47="","",COUNTIF(I47,'Stats Calculator'!E$31)+COUNTIF(J47,'Stats Calculator'!E$32)+COUNTIF(K47,'Stats Calculator'!E$33)+COUNTIF(L47,'Stats Calculator'!E$34)+COUNTIF(M47,'Stats Calculator'!E$35)+COUNTIF(N47,'Stats Calculator'!E$36)+COUNTIF(O47,'Stats Calculator'!E$37)+COUNTIF(P47,'Stats Calculator'!E$38)-8+Data!S$3)</f>
        <v>2</v>
      </c>
      <c r="AH47">
        <f>IF(I47="","",IF(Q47="",0,IF(Q47=0,0,IF(VLOOKUP(Engine!AF47,'Stats Calculator'!B$31:E$38,4,FALSE)="",0,IF(VLOOKUP(Engine!AF47,'Stats Calculator'!B$31:E$38,4,FALSE)=Q47,2,-2)))))</f>
        <v>0</v>
      </c>
      <c r="AI47">
        <f>IF(I47="","",Data!S$3-COUNTA('Stats Calculator'!E$31:E$38))</f>
        <v>5</v>
      </c>
      <c r="AJ47">
        <f>IF(I47="","",IF(AF47=0,0,IF(VLOOKUP(AF47,'Stats Calculator'!B$31:E$38,4,FALSE)&gt;0,0,2)))</f>
        <v>2</v>
      </c>
      <c r="AK47">
        <f>IF(I47="","",IF(Data!S$3-Engine!AI47=AG47,2,0))</f>
        <v>0</v>
      </c>
      <c r="AL47">
        <f t="shared" si="14"/>
        <v>9</v>
      </c>
    </row>
    <row r="48" spans="1:38" x14ac:dyDescent="0.35">
      <c r="A48">
        <v>47</v>
      </c>
      <c r="B48">
        <f t="shared" si="16"/>
        <v>49</v>
      </c>
      <c r="C48" s="111">
        <f t="shared" si="8"/>
        <v>5.0045100470000001</v>
      </c>
      <c r="D48">
        <f t="shared" si="17"/>
        <v>49</v>
      </c>
      <c r="E48" s="3" t="str">
        <f t="shared" si="9"/>
        <v>u</v>
      </c>
      <c r="F48" t="str">
        <f t="shared" si="10"/>
        <v/>
      </c>
      <c r="G48">
        <v>47</v>
      </c>
      <c r="H48" t="str">
        <f>Data!A49</f>
        <v>Westy</v>
      </c>
      <c r="I48" s="2" t="str">
        <f>Data!C49</f>
        <v>Raiders</v>
      </c>
      <c r="J48" s="2" t="str">
        <f>Data!D49</f>
        <v>Panthers</v>
      </c>
      <c r="K48" s="2" t="str">
        <f>Data!E49</f>
        <v>Storm</v>
      </c>
      <c r="L48" s="2" t="str">
        <f>IF(Data!$S$3&lt;Engine!L$1,0,Data!F49)</f>
        <v>Warriors</v>
      </c>
      <c r="M48" s="2" t="str">
        <f>IF(Data!$S$3&lt;Engine!M$1,0,Data!G49)</f>
        <v>Sharks</v>
      </c>
      <c r="N48" s="2" t="str">
        <f>IF(Data!$S$3&lt;Engine!N$1,0,Data!H49)</f>
        <v>Rabbitohs</v>
      </c>
      <c r="O48" s="2" t="str">
        <f>IF(Data!$S$3&lt;Engine!O$1,0,Data!I49)</f>
        <v>Dragons</v>
      </c>
      <c r="P48" s="2" t="str">
        <f>IF(Data!$S$3&lt;Engine!P$1,0,Data!J49)</f>
        <v>Cowboys</v>
      </c>
      <c r="Q48" s="11" t="str">
        <f>IF(Data!B49=1,Data!K49,"No Tips")</f>
        <v>Storm</v>
      </c>
      <c r="R48" s="2">
        <f>Data!L49</f>
        <v>5</v>
      </c>
      <c r="S48" s="2">
        <f>Data!M49</f>
        <v>451</v>
      </c>
      <c r="T48" s="1">
        <f>IF(I48="","",COUNTIF('Live Ladder'!P:P,I48)+COUNTIF('Live Ladder'!P:P,J48)+COUNTIF('Live Ladder'!P:P,K48)+COUNTIF('Live Ladder'!P:P,L48)+COUNTIF('Live Ladder'!P:P,M48)+COUNTIF('Live Ladder'!P:P,N48)+COUNTIF('Live Ladder'!P:P,O48)+COUNTIF('Live Ladder'!P:P,P48))</f>
        <v>1</v>
      </c>
      <c r="U48" s="1">
        <f>IF(I48="","",IF(COUNTIF('Live Ladder'!P:P,Engine!Q48)=1,2,IF(COUNTIF('Live Ladder'!Q:Q,Engine!Q48)=1,-2,0)))</f>
        <v>-2</v>
      </c>
      <c r="V48" s="1">
        <f>IF(I48="","",IF(T48=Data!S$3,2,0))</f>
        <v>0</v>
      </c>
      <c r="W48" s="1">
        <f t="shared" si="11"/>
        <v>-1</v>
      </c>
      <c r="X48" s="1">
        <f>IF(I48="",AE$2,IF(I48='Live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64</v>
      </c>
      <c r="Y48">
        <f t="shared" si="15"/>
        <v>4</v>
      </c>
      <c r="Z48">
        <f t="shared" si="12"/>
        <v>515</v>
      </c>
      <c r="AA48" s="111">
        <f t="shared" si="13"/>
        <v>4.0051500470000008</v>
      </c>
      <c r="AB48">
        <f t="shared" si="6"/>
        <v>-1</v>
      </c>
      <c r="AC48">
        <f>IF(I48="","",IF(I48='Live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64</v>
      </c>
      <c r="AF48">
        <f>IF(I48="","",IF(Q48="",0,IF(AND(Q48&gt;0,COUNTIF('Stats Calculator'!$T$24:$AA$24,Q48)=1),HLOOKUP(Q48,'Stats Calculator'!$T$24:$AA$27,4,FALSE),IF(AND(Q48&gt;0,COUNTIF('Stats Calculator'!$T$25:$AA$25,Q48)=1),HLOOKUP(Q48,'Stats Calculator'!$T$25:$AA$27,3,FALSE)))))</f>
        <v>3</v>
      </c>
      <c r="AG48">
        <f>IF(I48="","",COUNTIF(I48,'Stats Calculator'!E$31)+COUNTIF(J48,'Stats Calculator'!E$32)+COUNTIF(K48,'Stats Calculator'!E$33)+COUNTIF(L48,'Stats Calculator'!E$34)+COUNTIF(M48,'Stats Calculator'!E$35)+COUNTIF(N48,'Stats Calculator'!E$36)+COUNTIF(O48,'Stats Calculator'!E$37)+COUNTIF(P48,'Stats Calculator'!E$38)-8+Data!S$3)</f>
        <v>1</v>
      </c>
      <c r="AH48">
        <f>IF(I48="","",IF(Q48="",0,IF(Q48=0,0,IF(VLOOKUP(Engine!AF48,'Stats Calculator'!B$31:E$38,4,FALSE)="",0,IF(VLOOKUP(Engine!AF48,'Stats Calculator'!B$31:E$38,4,FALSE)=Q48,2,-2)))))</f>
        <v>-2</v>
      </c>
      <c r="AI48">
        <f>IF(I48="","",Data!S$3-COUNTA('Stats Calculator'!E$31:E$38))</f>
        <v>5</v>
      </c>
      <c r="AJ48">
        <f>IF(I48="","",IF(AF48=0,0,IF(VLOOKUP(AF48,'Stats Calculator'!B$31:E$38,4,FALSE)&gt;0,0,2)))</f>
        <v>0</v>
      </c>
      <c r="AK48">
        <f>IF(I48="","",IF(Data!S$3-Engine!AI48=AG48,2,0))</f>
        <v>0</v>
      </c>
      <c r="AL48">
        <f t="shared" si="14"/>
        <v>4</v>
      </c>
    </row>
    <row r="49" spans="1:38" s="10" customFormat="1" x14ac:dyDescent="0.35">
      <c r="A49">
        <v>48</v>
      </c>
      <c r="B49">
        <f t="shared" si="16"/>
        <v>31</v>
      </c>
      <c r="C49" s="111">
        <f t="shared" si="8"/>
        <v>12.003980046000001</v>
      </c>
      <c r="D49">
        <f t="shared" si="17"/>
        <v>19</v>
      </c>
      <c r="E49" s="3" t="str">
        <f t="shared" si="9"/>
        <v>p</v>
      </c>
      <c r="F49">
        <f t="shared" si="10"/>
        <v>12</v>
      </c>
      <c r="G49">
        <v>46</v>
      </c>
      <c r="H49" t="str">
        <f>Data!A50</f>
        <v>Wiley C</v>
      </c>
      <c r="I49" s="2" t="str">
        <f>Data!C50</f>
        <v>Bulldogs</v>
      </c>
      <c r="J49" s="2" t="str">
        <f>Data!D50</f>
        <v>Panthers</v>
      </c>
      <c r="K49" s="2" t="str">
        <f>Data!E50</f>
        <v>Storm</v>
      </c>
      <c r="L49" s="2" t="str">
        <f>IF(Data!$S$3&lt;Engine!L$1,0,Data!F50)</f>
        <v>Warriors</v>
      </c>
      <c r="M49" s="2" t="str">
        <f>IF(Data!$S$3&lt;Engine!M$1,0,Data!G50)</f>
        <v>Sharks</v>
      </c>
      <c r="N49" s="2" t="str">
        <f>IF(Data!$S$3&lt;Engine!N$1,0,Data!H50)</f>
        <v>Rabbitohs</v>
      </c>
      <c r="O49" s="2" t="str">
        <f>IF(Data!$S$3&lt;Engine!O$1,0,Data!I50)</f>
        <v>Dragons</v>
      </c>
      <c r="P49" s="2" t="str">
        <f>IF(Data!$S$3&lt;Engine!P$1,0,Data!J50)</f>
        <v>Cowboys</v>
      </c>
      <c r="Q49" s="11" t="str">
        <f>IF(Data!B50=1,Data!K50,"No Tips")</f>
        <v>Sharks</v>
      </c>
      <c r="R49" s="2">
        <f>Data!L50</f>
        <v>12</v>
      </c>
      <c r="S49" s="2">
        <f>Data!M50</f>
        <v>398</v>
      </c>
      <c r="T49" s="1">
        <f>IF(I49="","",COUNTIF('Live Ladder'!P:P,I49)+COUNTIF('Live Ladder'!P:P,J49)+COUNTIF('Live Ladder'!P:P,K49)+COUNTIF('Live Ladder'!P:P,L49)+COUNTIF('Live Ladder'!P:P,M49)+COUNTIF('Live Ladder'!P:P,N49)+COUNTIF('Live Ladder'!P:P,O49)+COUNTIF('Live Ladder'!P:P,P49))</f>
        <v>2</v>
      </c>
      <c r="U49" s="1">
        <f>IF(I49="","",IF(COUNTIF('Live Ladder'!P:P,Engine!Q49)=1,2,IF(COUNTIF('Live Ladder'!Q:Q,Engine!Q49)=1,-2,0)))</f>
        <v>0</v>
      </c>
      <c r="V49" s="1">
        <f>IF(I49="","",IF(T49=Data!S$3,2,0))</f>
        <v>0</v>
      </c>
      <c r="W49" s="1">
        <f t="shared" si="11"/>
        <v>2</v>
      </c>
      <c r="X49" s="1">
        <f>IF(I49="",AE$2,IF(I49='Live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68</v>
      </c>
      <c r="Y49">
        <f t="shared" si="15"/>
        <v>14</v>
      </c>
      <c r="Z49">
        <f t="shared" si="12"/>
        <v>466</v>
      </c>
      <c r="AA49" s="111">
        <f t="shared" si="13"/>
        <v>14.004660046</v>
      </c>
      <c r="AB49">
        <f t="shared" si="6"/>
        <v>2</v>
      </c>
      <c r="AC49">
        <f>IF(I49="","",IF(I49='Live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68</v>
      </c>
      <c r="AD49"/>
      <c r="AE49"/>
      <c r="AF49">
        <f>IF(I49="","",IF(Q49="",0,IF(AND(Q49&gt;0,COUNTIF('Stats Calculator'!$T$24:$AA$24,Q49)=1),HLOOKUP(Q49,'Stats Calculator'!$T$24:$AA$27,4,FALSE),IF(AND(Q49&gt;0,COUNTIF('Stats Calculator'!$T$25:$AA$25,Q49)=1),HLOOKUP(Q49,'Stats Calculator'!$T$25:$AA$27,3,FALSE)))))</f>
        <v>5</v>
      </c>
      <c r="AG49">
        <f>IF(I49="","",COUNTIF(I49,'Stats Calculator'!E$31)+COUNTIF(J49,'Stats Calculator'!E$32)+COUNTIF(K49,'Stats Calculator'!E$33)+COUNTIF(L49,'Stats Calculator'!E$34)+COUNTIF(M49,'Stats Calculator'!E$35)+COUNTIF(N49,'Stats Calculator'!E$36)+COUNTIF(O49,'Stats Calculator'!E$37)+COUNTIF(P49,'Stats Calculator'!E$38)-8+Data!S$3)</f>
        <v>2</v>
      </c>
      <c r="AH49">
        <f>IF(I49="","",IF(Q49="",0,IF(Q49=0,0,IF(VLOOKUP(Engine!AF49,'Stats Calculator'!B$31:E$38,4,FALSE)="",0,IF(VLOOKUP(Engine!AF49,'Stats Calculator'!B$31:E$38,4,FALSE)=Q49,2,-2)))))</f>
        <v>0</v>
      </c>
      <c r="AI49">
        <f>IF(I49="","",Data!S$3-COUNTA('Stats Calculator'!E$31:E$38))</f>
        <v>5</v>
      </c>
      <c r="AJ49">
        <f>IF(I49="","",IF(AF49=0,0,IF(VLOOKUP(AF49,'Stats Calculator'!B$31:E$38,4,FALSE)&gt;0,0,2)))</f>
        <v>2</v>
      </c>
      <c r="AK49">
        <f>IF(I49="","",IF(Data!S$3-Engine!AI49=AG49,2,0))</f>
        <v>0</v>
      </c>
      <c r="AL49">
        <f t="shared" si="14"/>
        <v>9</v>
      </c>
    </row>
    <row r="50" spans="1:38" x14ac:dyDescent="0.35">
      <c r="A50">
        <v>49</v>
      </c>
      <c r="B50">
        <f t="shared" si="16"/>
        <v>15</v>
      </c>
      <c r="C50" s="111">
        <f t="shared" si="8"/>
        <v>14.004360045</v>
      </c>
      <c r="D50">
        <f t="shared" si="17"/>
        <v>18</v>
      </c>
      <c r="E50" s="3" t="str">
        <f t="shared" si="9"/>
        <v>q</v>
      </c>
      <c r="F50">
        <f t="shared" si="10"/>
        <v>3</v>
      </c>
      <c r="G50">
        <v>45</v>
      </c>
      <c r="H50" t="str">
        <f>Data!A51</f>
        <v>Yackas</v>
      </c>
      <c r="I50" s="2" t="str">
        <f>Data!C51</f>
        <v>Bulldogs</v>
      </c>
      <c r="J50" s="2" t="str">
        <f>Data!D51</f>
        <v>Panthers</v>
      </c>
      <c r="K50" s="2" t="str">
        <f>Data!E51</f>
        <v>Storm</v>
      </c>
      <c r="L50" s="2" t="str">
        <f>IF(Data!$S$3&lt;Engine!L$1,0,Data!F51)</f>
        <v>Warriors</v>
      </c>
      <c r="M50" s="2" t="str">
        <f>IF(Data!$S$3&lt;Engine!M$1,0,Data!G51)</f>
        <v>Sharks</v>
      </c>
      <c r="N50" s="2" t="str">
        <f>IF(Data!$S$3&lt;Engine!N$1,0,Data!H51)</f>
        <v>Rabbitohs</v>
      </c>
      <c r="O50" s="2" t="str">
        <f>IF(Data!$S$3&lt;Engine!O$1,0,Data!I51)</f>
        <v>Eels</v>
      </c>
      <c r="P50" s="2" t="str">
        <f>IF(Data!$S$3&lt;Engine!P$1,0,Data!J51)</f>
        <v>Titans</v>
      </c>
      <c r="Q50" s="11" t="str">
        <f>IF(Data!B51=1,Data!K51,"No Tips")</f>
        <v>Storm</v>
      </c>
      <c r="R50" s="2">
        <f>Data!L51</f>
        <v>14</v>
      </c>
      <c r="S50" s="2">
        <f>Data!M51</f>
        <v>436</v>
      </c>
      <c r="T50" s="1">
        <f>IF(I50="","",COUNTIF('Live Ladder'!P:P,I50)+COUNTIF('Live Ladder'!P:P,J50)+COUNTIF('Live Ladder'!P:P,K50)+COUNTIF('Live Ladder'!P:P,L50)+COUNTIF('Live Ladder'!P:P,M50)+COUNTIF('Live Ladder'!P:P,N50)+COUNTIF('Live Ladder'!P:P,O50)+COUNTIF('Live Ladder'!P:P,P50))</f>
        <v>2</v>
      </c>
      <c r="U50" s="1">
        <f>IF(I50="","",IF(COUNTIF('Live Ladder'!P:P,Engine!Q50)=1,2,IF(COUNTIF('Live Ladder'!Q:Q,Engine!Q50)=1,-2,0)))</f>
        <v>-2</v>
      </c>
      <c r="V50" s="1">
        <f>IF(I50="","",IF(T50=Data!S$3,2,0))</f>
        <v>0</v>
      </c>
      <c r="W50" s="1">
        <f t="shared" si="11"/>
        <v>0</v>
      </c>
      <c r="X50" s="1">
        <f>IF(I50="",AE$2,IF(I50='Live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68</v>
      </c>
      <c r="Y50">
        <f t="shared" si="15"/>
        <v>14</v>
      </c>
      <c r="Z50">
        <f t="shared" si="12"/>
        <v>504</v>
      </c>
      <c r="AA50" s="111">
        <f t="shared" si="13"/>
        <v>14.005040044999999</v>
      </c>
      <c r="AB50">
        <f t="shared" si="6"/>
        <v>0</v>
      </c>
      <c r="AC50">
        <f>IF(I50="","",IF(I50='Live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68</v>
      </c>
      <c r="AF50">
        <f>IF(I50="","",IF(Q50="",0,IF(AND(Q50&gt;0,COUNTIF('Stats Calculator'!$T$24:$AA$24,Q50)=1),HLOOKUP(Q50,'Stats Calculator'!$T$24:$AA$27,4,FALSE),IF(AND(Q50&gt;0,COUNTIF('Stats Calculator'!$T$25:$AA$25,Q50)=1),HLOOKUP(Q50,'Stats Calculator'!$T$25:$AA$27,3,FALSE)))))</f>
        <v>3</v>
      </c>
      <c r="AG50">
        <f>IF(I50="","",COUNTIF(I50,'Stats Calculator'!E$31)+COUNTIF(J50,'Stats Calculator'!E$32)+COUNTIF(K50,'Stats Calculator'!E$33)+COUNTIF(L50,'Stats Calculator'!E$34)+COUNTIF(M50,'Stats Calculator'!E$35)+COUNTIF(N50,'Stats Calculator'!E$36)+COUNTIF(O50,'Stats Calculator'!E$37)+COUNTIF(P50,'Stats Calculator'!E$38)-8+Data!S$3)</f>
        <v>2</v>
      </c>
      <c r="AH50">
        <f>IF(I50="","",IF(Q50="",0,IF(Q50=0,0,IF(VLOOKUP(Engine!AF50,'Stats Calculator'!B$31:E$38,4,FALSE)="",0,IF(VLOOKUP(Engine!AF50,'Stats Calculator'!B$31:E$38,4,FALSE)=Q50,2,-2)))))</f>
        <v>-2</v>
      </c>
      <c r="AI50">
        <f>IF(I50="","",Data!S$3-COUNTA('Stats Calculator'!E$31:E$38))</f>
        <v>5</v>
      </c>
      <c r="AJ50">
        <f>IF(I50="","",IF(AF50=0,0,IF(VLOOKUP(AF50,'Stats Calculator'!B$31:E$38,4,FALSE)&gt;0,0,2)))</f>
        <v>0</v>
      </c>
      <c r="AK50">
        <f>IF(I50="","",IF(Data!S$3-Engine!AI50=AG50,2,0))</f>
        <v>0</v>
      </c>
      <c r="AL50">
        <f t="shared" si="14"/>
        <v>5</v>
      </c>
    </row>
    <row r="51" spans="1:38" x14ac:dyDescent="0.35">
      <c r="A51">
        <v>50</v>
      </c>
      <c r="B51">
        <f t="shared" si="16"/>
        <v>9</v>
      </c>
      <c r="C51" s="111">
        <f t="shared" si="8"/>
        <v>15.004620043999999</v>
      </c>
      <c r="D51">
        <f t="shared" si="17"/>
        <v>16</v>
      </c>
      <c r="E51" s="3" t="str">
        <f t="shared" si="9"/>
        <v>q</v>
      </c>
      <c r="F51">
        <f t="shared" si="10"/>
        <v>7</v>
      </c>
      <c r="G51">
        <v>44</v>
      </c>
      <c r="H51" t="str">
        <f>Data!A52</f>
        <v>Slave1</v>
      </c>
      <c r="I51" s="2" t="str">
        <f>Data!C52</f>
        <v>Raiders</v>
      </c>
      <c r="J51" s="2" t="str">
        <f>Data!D52</f>
        <v>Panthers</v>
      </c>
      <c r="K51" s="2" t="str">
        <f>Data!E52</f>
        <v>Storm</v>
      </c>
      <c r="L51" s="2" t="str">
        <f>IF(Data!$S$3&lt;Engine!L$1,0,Data!F52)</f>
        <v>Warriors</v>
      </c>
      <c r="M51" s="2" t="str">
        <f>IF(Data!$S$3&lt;Engine!M$1,0,Data!G52)</f>
        <v>Sharks</v>
      </c>
      <c r="N51" s="2" t="str">
        <f>IF(Data!$S$3&lt;Engine!N$1,0,Data!H52)</f>
        <v>Rabbitohs</v>
      </c>
      <c r="O51" s="2" t="str">
        <f>IF(Data!$S$3&lt;Engine!O$1,0,Data!I52)</f>
        <v>Eels</v>
      </c>
      <c r="P51" s="2" t="str">
        <f>IF(Data!$S$3&lt;Engine!P$1,0,Data!J52)</f>
        <v>Cowboys</v>
      </c>
      <c r="Q51" s="11" t="str">
        <f>IF(Data!B52=1,Data!K52,"No Tips")</f>
        <v>Storm</v>
      </c>
      <c r="R51" s="2">
        <f>Data!L52</f>
        <v>15</v>
      </c>
      <c r="S51" s="2">
        <f>Data!M52</f>
        <v>462</v>
      </c>
      <c r="T51" s="1">
        <f>IF(I51="","",COUNTIF('Live Ladder'!P:P,I51)+COUNTIF('Live Ladder'!P:P,J51)+COUNTIF('Live Ladder'!P:P,K51)+COUNTIF('Live Ladder'!P:P,L51)+COUNTIF('Live Ladder'!P:P,M51)+COUNTIF('Live Ladder'!P:P,N51)+COUNTIF('Live Ladder'!P:P,O51)+COUNTIF('Live Ladder'!P:P,P51))</f>
        <v>1</v>
      </c>
      <c r="U51" s="1">
        <f>IF(I51="","",IF(COUNTIF('Live Ladder'!P:P,Engine!Q51)=1,2,IF(COUNTIF('Live Ladder'!Q:Q,Engine!Q51)=1,-2,0)))</f>
        <v>-2</v>
      </c>
      <c r="V51" s="1">
        <f>IF(I51="","",IF(T51=Data!S$3,2,0))</f>
        <v>0</v>
      </c>
      <c r="W51" s="1">
        <f t="shared" si="11"/>
        <v>-1</v>
      </c>
      <c r="X51" s="1">
        <f>IF(I51="",AE$2,IF(I51='Live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64</v>
      </c>
      <c r="Y51">
        <f t="shared" si="15"/>
        <v>14</v>
      </c>
      <c r="Z51">
        <f t="shared" si="12"/>
        <v>526</v>
      </c>
      <c r="AA51" s="111">
        <f t="shared" si="13"/>
        <v>14.005260044</v>
      </c>
      <c r="AB51">
        <f t="shared" si="6"/>
        <v>-1</v>
      </c>
      <c r="AC51">
        <f>IF(I51="","",IF(I51='Live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64</v>
      </c>
      <c r="AD51" s="10"/>
      <c r="AE51" s="10"/>
      <c r="AF51">
        <f>IF(I51="","",IF(Q51="",0,IF(AND(Q51&gt;0,COUNTIF('Stats Calculator'!$T$24:$AA$24,Q51)=1),HLOOKUP(Q51,'Stats Calculator'!$T$24:$AA$27,4,FALSE),IF(AND(Q51&gt;0,COUNTIF('Stats Calculator'!$T$25:$AA$25,Q51)=1),HLOOKUP(Q51,'Stats Calculator'!$T$25:$AA$27,3,FALSE)))))</f>
        <v>3</v>
      </c>
      <c r="AG51">
        <f>IF(I51="","",COUNTIF(I51,'Stats Calculator'!E$31)+COUNTIF(J51,'Stats Calculator'!E$32)+COUNTIF(K51,'Stats Calculator'!E$33)+COUNTIF(L51,'Stats Calculator'!E$34)+COUNTIF(M51,'Stats Calculator'!E$35)+COUNTIF(N51,'Stats Calculator'!E$36)+COUNTIF(O51,'Stats Calculator'!E$37)+COUNTIF(P51,'Stats Calculator'!E$38)-8+Data!S$3)</f>
        <v>1</v>
      </c>
      <c r="AH51">
        <f>IF(I51="","",IF(Q51="",0,IF(Q51=0,0,IF(VLOOKUP(Engine!AF51,'Stats Calculator'!B$31:E$38,4,FALSE)="",0,IF(VLOOKUP(Engine!AF51,'Stats Calculator'!B$31:E$38,4,FALSE)=Q51,2,-2)))))</f>
        <v>-2</v>
      </c>
      <c r="AI51">
        <f>IF(I51="","",Data!S$3-COUNTA('Stats Calculator'!E$31:E$38))</f>
        <v>5</v>
      </c>
      <c r="AJ51">
        <f>IF(I51="","",IF(AF51=0,0,IF(VLOOKUP(AF51,'Stats Calculator'!B$31:E$38,4,FALSE)&gt;0,0,2)))</f>
        <v>0</v>
      </c>
      <c r="AK51">
        <f>IF(I51="","",IF(Data!S$3-Engine!AI51=AG51,2,0))</f>
        <v>0</v>
      </c>
      <c r="AL51">
        <f t="shared" si="14"/>
        <v>4</v>
      </c>
    </row>
    <row r="52" spans="1:38" x14ac:dyDescent="0.35">
      <c r="A52">
        <v>51</v>
      </c>
      <c r="B52" t="str">
        <f t="shared" si="16"/>
        <v/>
      </c>
      <c r="C52" s="111" t="str">
        <f t="shared" si="8"/>
        <v/>
      </c>
      <c r="D52" t="str">
        <f t="shared" si="17"/>
        <v/>
      </c>
      <c r="E52" s="3" t="str">
        <f t="shared" si="9"/>
        <v/>
      </c>
      <c r="F52" t="str">
        <f t="shared" si="10"/>
        <v/>
      </c>
      <c r="G52">
        <v>43</v>
      </c>
      <c r="H52" t="str">
        <f>Data!A53</f>
        <v>ZZZZZZ Suspend</v>
      </c>
      <c r="I52" s="2" t="str">
        <f>Data!C53</f>
        <v/>
      </c>
      <c r="J52" s="2" t="str">
        <f>Data!D53</f>
        <v/>
      </c>
      <c r="K52" s="2" t="str">
        <f>Data!E53</f>
        <v/>
      </c>
      <c r="L52" s="2" t="str">
        <f>IF(Data!$S$3&lt;Engine!L$1,0,Data!F53)</f>
        <v/>
      </c>
      <c r="M52" s="2" t="str">
        <f>IF(Data!$S$3&lt;Engine!M$1,0,Data!G53)</f>
        <v/>
      </c>
      <c r="N52" s="2" t="str">
        <f>IF(Data!$S$3&lt;Engine!N$1,0,Data!H53)</f>
        <v/>
      </c>
      <c r="O52" s="2" t="str">
        <f>IF(Data!$S$3&lt;Engine!O$1,0,Data!I53)</f>
        <v/>
      </c>
      <c r="P52" s="2" t="str">
        <f>IF(Data!$S$3&lt;Engine!P$1,0,Data!J53)</f>
        <v/>
      </c>
      <c r="Q52" s="11" t="str">
        <f>IF(Data!B53=1,Data!K53,"No Tips")</f>
        <v>No Tips</v>
      </c>
      <c r="R52" s="2" t="str">
        <f>Data!L53</f>
        <v/>
      </c>
      <c r="S52" s="2" t="str">
        <f>Data!M53</f>
        <v/>
      </c>
      <c r="T52" s="1" t="str">
        <f>IF(I52="","",COUNTIF('Live Ladder'!P:P,I52)+COUNTIF('Live Ladder'!P:P,J52)+COUNTIF('Live Ladder'!P:P,K52)+COUNTIF('Live Ladder'!P:P,L52)+COUNTIF('Live Ladder'!P:P,M52)+COUNTIF('Live Ladder'!P:P,N52)+COUNTIF('Live Ladder'!P:P,O52)+COUNTIF('Live Ladder'!P:P,P52))</f>
        <v/>
      </c>
      <c r="U52" s="1" t="str">
        <f>IF(I52="","",IF(COUNTIF('Live Ladder'!P:P,Engine!Q52)=1,2,IF(COUNTIF('Live Ladder'!Q:Q,Engine!Q52)=1,-2,0)))</f>
        <v/>
      </c>
      <c r="V52" s="1" t="str">
        <f>IF(I52="","",IF(T52=Data!S$3,2,0))</f>
        <v/>
      </c>
      <c r="W52" s="1">
        <f t="shared" si="11"/>
        <v>-2</v>
      </c>
      <c r="X52" s="1">
        <f>IF(I52="",AE$2,IF(I52='Live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28</v>
      </c>
      <c r="Y52" t="str">
        <f t="shared" si="15"/>
        <v/>
      </c>
      <c r="Z52" t="str">
        <f t="shared" si="12"/>
        <v/>
      </c>
      <c r="AA52" s="111" t="str">
        <f t="shared" si="13"/>
        <v/>
      </c>
      <c r="AB52" t="str">
        <f t="shared" si="6"/>
        <v/>
      </c>
      <c r="AC52" t="str">
        <f>IF(I52="","",IF(I52='Live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
      </c>
      <c r="AF52" t="str">
        <f>IF(I52="","",IF(Q52="",0,IF(AND(Q52&gt;0,COUNTIF('Stats Calculator'!$T$24:$AA$24,Q52)=1),HLOOKUP(Q52,'Stats Calculator'!$T$24:$AA$27,4,FALSE),IF(AND(Q52&gt;0,COUNTIF('Stats Calculator'!$T$25:$AA$25,Q52)=1),HLOOKUP(Q52,'Stats Calculator'!$T$25:$AA$27,3,FALSE)))))</f>
        <v/>
      </c>
      <c r="AG52" t="str">
        <f>IF(I52="","",COUNTIF(I52,'Stats Calculator'!E$31)+COUNTIF(J52,'Stats Calculator'!E$32)+COUNTIF(K52,'Stats Calculator'!E$33)+COUNTIF(L52,'Stats Calculator'!E$34)+COUNTIF(M52,'Stats Calculator'!E$35)+COUNTIF(N52,'Stats Calculator'!E$36)+COUNTIF(O52,'Stats Calculator'!E$37)+COUNTIF(P52,'Stats Calculator'!E$38)-8+Data!S$3)</f>
        <v/>
      </c>
      <c r="AH52" t="str">
        <f>IF(I52="","",IF(Q52="",0,IF(Q52=0,0,IF(VLOOKUP(Engine!AF52,'Stats Calculator'!B$31:E$38,4,FALSE)="",0,IF(VLOOKUP(Engine!AF52,'Stats Calculator'!B$31:E$38,4,FALSE)=Q52,2,-2)))))</f>
        <v/>
      </c>
      <c r="AI52" t="str">
        <f>IF(I52="","",Data!S$3-COUNTA('Stats Calculator'!E$31:E$38))</f>
        <v/>
      </c>
      <c r="AJ52" t="str">
        <f>IF(I52="","",IF(AF52=0,0,IF(VLOOKUP(AF52,'Stats Calculator'!B$31:E$38,4,FALSE)&gt;0,0,2)))</f>
        <v/>
      </c>
      <c r="AK52" t="str">
        <f>IF(I52="","",IF(Data!S$3-Engine!AI52=AG52,2,0))</f>
        <v/>
      </c>
      <c r="AL52" t="str">
        <f t="shared" si="14"/>
        <v/>
      </c>
    </row>
    <row r="53" spans="1:38" x14ac:dyDescent="0.35">
      <c r="A53">
        <v>52</v>
      </c>
      <c r="B53" t="str">
        <f t="shared" si="16"/>
        <v/>
      </c>
      <c r="C53" s="111" t="str">
        <f t="shared" si="8"/>
        <v/>
      </c>
      <c r="D53" t="str">
        <f t="shared" si="17"/>
        <v/>
      </c>
      <c r="E53" s="3" t="str">
        <f t="shared" si="9"/>
        <v/>
      </c>
      <c r="F53" t="str">
        <f t="shared" si="10"/>
        <v/>
      </c>
      <c r="G53">
        <v>42</v>
      </c>
      <c r="H53" t="str">
        <f>Data!A54</f>
        <v>ZZZZZZ Suspend</v>
      </c>
      <c r="I53" s="2" t="str">
        <f>Data!C54</f>
        <v/>
      </c>
      <c r="J53" s="2" t="str">
        <f>Data!D54</f>
        <v/>
      </c>
      <c r="K53" s="2" t="str">
        <f>Data!E54</f>
        <v/>
      </c>
      <c r="L53" s="2" t="str">
        <f>IF(Data!$S$3&lt;Engine!L$1,0,Data!F54)</f>
        <v/>
      </c>
      <c r="M53" s="2" t="str">
        <f>IF(Data!$S$3&lt;Engine!M$1,0,Data!G54)</f>
        <v/>
      </c>
      <c r="N53" s="2" t="str">
        <f>IF(Data!$S$3&lt;Engine!N$1,0,Data!H54)</f>
        <v/>
      </c>
      <c r="O53" s="2" t="str">
        <f>IF(Data!$S$3&lt;Engine!O$1,0,Data!I54)</f>
        <v/>
      </c>
      <c r="P53" s="2" t="str">
        <f>IF(Data!$S$3&lt;Engine!P$1,0,Data!J54)</f>
        <v/>
      </c>
      <c r="Q53" s="11" t="str">
        <f>IF(Data!B54=1,Data!K54,"No Tips")</f>
        <v>No Tips</v>
      </c>
      <c r="R53" s="2" t="str">
        <f>Data!L54</f>
        <v/>
      </c>
      <c r="S53" s="2" t="str">
        <f>Data!M54</f>
        <v/>
      </c>
      <c r="T53" s="1" t="str">
        <f>IF(I53="","",COUNTIF('Live Ladder'!P:P,I53)+COUNTIF('Live Ladder'!P:P,J53)+COUNTIF('Live Ladder'!P:P,K53)+COUNTIF('Live Ladder'!P:P,L53)+COUNTIF('Live Ladder'!P:P,M53)+COUNTIF('Live Ladder'!P:P,N53)+COUNTIF('Live Ladder'!P:P,O53)+COUNTIF('Live Ladder'!P:P,P53))</f>
        <v/>
      </c>
      <c r="U53" s="1" t="str">
        <f>IF(I53="","",IF(COUNTIF('Live Ladder'!P:P,Engine!Q53)=1,2,IF(COUNTIF('Live Ladder'!Q:Q,Engine!Q53)=1,-2,0)))</f>
        <v/>
      </c>
      <c r="V53" s="1" t="str">
        <f>IF(I53="","",IF(T53=Data!S$3,2,0))</f>
        <v/>
      </c>
      <c r="W53" s="1">
        <f t="shared" si="11"/>
        <v>-2</v>
      </c>
      <c r="X53" s="1">
        <f>IF(I53="",AE$2,IF(I53='Live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28</v>
      </c>
      <c r="Y53" t="str">
        <f t="shared" si="15"/>
        <v/>
      </c>
      <c r="Z53" t="str">
        <f t="shared" si="12"/>
        <v/>
      </c>
      <c r="AA53" s="111" t="str">
        <f t="shared" si="13"/>
        <v/>
      </c>
      <c r="AB53" t="str">
        <f t="shared" si="6"/>
        <v/>
      </c>
      <c r="AC53" t="str">
        <f>IF(I53="","",IF(I53='Live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
      </c>
      <c r="AF53" t="str">
        <f>IF(I53="","",IF(Q53="",0,IF(AND(Q53&gt;0,COUNTIF('Stats Calculator'!$T$24:$AA$24,Q53)=1),HLOOKUP(Q53,'Stats Calculator'!$T$24:$AA$27,4,FALSE),IF(AND(Q53&gt;0,COUNTIF('Stats Calculator'!$T$25:$AA$25,Q53)=1),HLOOKUP(Q53,'Stats Calculator'!$T$25:$AA$27,3,FALSE)))))</f>
        <v/>
      </c>
      <c r="AG53" t="str">
        <f>IF(I53="","",COUNTIF(I53,'Stats Calculator'!E$31)+COUNTIF(J53,'Stats Calculator'!E$32)+COUNTIF(K53,'Stats Calculator'!E$33)+COUNTIF(L53,'Stats Calculator'!E$34)+COUNTIF(M53,'Stats Calculator'!E$35)+COUNTIF(N53,'Stats Calculator'!E$36)+COUNTIF(O53,'Stats Calculator'!E$37)+COUNTIF(P53,'Stats Calculator'!E$38)-8+Data!S$3)</f>
        <v/>
      </c>
      <c r="AH53" t="str">
        <f>IF(I53="","",IF(Q53="",0,IF(Q53=0,0,IF(VLOOKUP(Engine!AF53,'Stats Calculator'!B$31:E$38,4,FALSE)="",0,IF(VLOOKUP(Engine!AF53,'Stats Calculator'!B$31:E$38,4,FALSE)=Q53,2,-2)))))</f>
        <v/>
      </c>
      <c r="AI53" t="str">
        <f>IF(I53="","",Data!S$3-COUNTA('Stats Calculator'!E$31:E$38))</f>
        <v/>
      </c>
      <c r="AJ53" t="str">
        <f>IF(I53="","",IF(AF53=0,0,IF(VLOOKUP(AF53,'Stats Calculator'!B$31:E$38,4,FALSE)&gt;0,0,2)))</f>
        <v/>
      </c>
      <c r="AK53" t="str">
        <f>IF(I53="","",IF(Data!S$3-Engine!AI53=AG53,2,0))</f>
        <v/>
      </c>
      <c r="AL53" t="str">
        <f t="shared" si="14"/>
        <v/>
      </c>
    </row>
    <row r="54" spans="1:38" x14ac:dyDescent="0.35">
      <c r="A54">
        <v>53</v>
      </c>
      <c r="B54" t="str">
        <f t="shared" si="16"/>
        <v/>
      </c>
      <c r="C54" s="111" t="str">
        <f t="shared" si="8"/>
        <v/>
      </c>
      <c r="D54" t="str">
        <f t="shared" si="17"/>
        <v/>
      </c>
      <c r="E54" s="3" t="str">
        <f t="shared" si="9"/>
        <v/>
      </c>
      <c r="F54" t="str">
        <f t="shared" si="10"/>
        <v/>
      </c>
      <c r="G54">
        <v>41</v>
      </c>
      <c r="H54" t="str">
        <f>Data!A55</f>
        <v>ZZZZZZ Suspend</v>
      </c>
      <c r="I54" s="2" t="str">
        <f>Data!C55</f>
        <v/>
      </c>
      <c r="J54" s="2" t="str">
        <f>Data!D55</f>
        <v/>
      </c>
      <c r="K54" s="2" t="str">
        <f>Data!E55</f>
        <v/>
      </c>
      <c r="L54" s="2" t="str">
        <f>IF(Data!$S$3&lt;Engine!L$1,0,Data!F55)</f>
        <v/>
      </c>
      <c r="M54" s="2" t="str">
        <f>IF(Data!$S$3&lt;Engine!M$1,0,Data!G55)</f>
        <v/>
      </c>
      <c r="N54" s="2" t="str">
        <f>IF(Data!$S$3&lt;Engine!N$1,0,Data!H55)</f>
        <v/>
      </c>
      <c r="O54" s="2" t="str">
        <f>IF(Data!$S$3&lt;Engine!O$1,0,Data!I55)</f>
        <v/>
      </c>
      <c r="P54" s="2" t="str">
        <f>IF(Data!$S$3&lt;Engine!P$1,0,Data!J55)</f>
        <v/>
      </c>
      <c r="Q54" s="11" t="str">
        <f>IF(Data!B55=1,Data!K55,"No Tips")</f>
        <v>No Tips</v>
      </c>
      <c r="R54" s="2" t="str">
        <f>Data!L55</f>
        <v/>
      </c>
      <c r="S54" s="2" t="str">
        <f>Data!M55</f>
        <v/>
      </c>
      <c r="T54" s="1" t="str">
        <f>IF(I54="","",COUNTIF('Live Ladder'!P:P,I54)+COUNTIF('Live Ladder'!P:P,J54)+COUNTIF('Live Ladder'!P:P,K54)+COUNTIF('Live Ladder'!P:P,L54)+COUNTIF('Live Ladder'!P:P,M54)+COUNTIF('Live Ladder'!P:P,N54)+COUNTIF('Live Ladder'!P:P,O54)+COUNTIF('Live Ladder'!P:P,P54))</f>
        <v/>
      </c>
      <c r="U54" s="1" t="str">
        <f>IF(I54="","",IF(COUNTIF('Live Ladder'!P:P,Engine!Q54)=1,2,IF(COUNTIF('Live Ladder'!Q:Q,Engine!Q54)=1,-2,0)))</f>
        <v/>
      </c>
      <c r="V54" s="1" t="str">
        <f>IF(I54="","",IF(T54=Data!S$3,2,0))</f>
        <v/>
      </c>
      <c r="W54" s="1">
        <f t="shared" si="11"/>
        <v>-2</v>
      </c>
      <c r="X54" s="1">
        <f>IF(I54="",AE$2,IF(I54='Live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28</v>
      </c>
      <c r="Y54" t="str">
        <f t="shared" si="15"/>
        <v/>
      </c>
      <c r="Z54" t="str">
        <f t="shared" si="12"/>
        <v/>
      </c>
      <c r="AA54" s="111" t="str">
        <f t="shared" si="13"/>
        <v/>
      </c>
      <c r="AB54" t="str">
        <f t="shared" si="6"/>
        <v/>
      </c>
      <c r="AC54" t="str">
        <f>IF(I54="","",IF(I54='Live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
      </c>
      <c r="AF54" t="str">
        <f>IF(I54="","",IF(Q54="",0,IF(AND(Q54&gt;0,COUNTIF('Stats Calculator'!$T$24:$AA$24,Q54)=1),HLOOKUP(Q54,'Stats Calculator'!$T$24:$AA$27,4,FALSE),IF(AND(Q54&gt;0,COUNTIF('Stats Calculator'!$T$25:$AA$25,Q54)=1),HLOOKUP(Q54,'Stats Calculator'!$T$25:$AA$27,3,FALSE)))))</f>
        <v/>
      </c>
      <c r="AG54" t="str">
        <f>IF(I54="","",COUNTIF(I54,'Stats Calculator'!E$31)+COUNTIF(J54,'Stats Calculator'!E$32)+COUNTIF(K54,'Stats Calculator'!E$33)+COUNTIF(L54,'Stats Calculator'!E$34)+COUNTIF(M54,'Stats Calculator'!E$35)+COUNTIF(N54,'Stats Calculator'!E$36)+COUNTIF(O54,'Stats Calculator'!E$37)+COUNTIF(P54,'Stats Calculator'!E$38)-8+Data!S$3)</f>
        <v/>
      </c>
      <c r="AH54" t="str">
        <f>IF(I54="","",IF(Q54="",0,IF(Q54=0,0,IF(VLOOKUP(Engine!AF54,'Stats Calculator'!B$31:E$38,4,FALSE)="",0,IF(VLOOKUP(Engine!AF54,'Stats Calculator'!B$31:E$38,4,FALSE)=Q54,2,-2)))))</f>
        <v/>
      </c>
      <c r="AI54" t="str">
        <f>IF(I54="","",Data!S$3-COUNTA('Stats Calculator'!E$31:E$38))</f>
        <v/>
      </c>
      <c r="AJ54" t="str">
        <f>IF(I54="","",IF(AF54=0,0,IF(VLOOKUP(AF54,'Stats Calculator'!B$31:E$38,4,FALSE)&gt;0,0,2)))</f>
        <v/>
      </c>
      <c r="AK54" t="str">
        <f>IF(I54="","",IF(Data!S$3-Engine!AI54=AG54,2,0))</f>
        <v/>
      </c>
      <c r="AL54" t="str">
        <f t="shared" si="14"/>
        <v/>
      </c>
    </row>
    <row r="55" spans="1:38" x14ac:dyDescent="0.35">
      <c r="A55">
        <v>54</v>
      </c>
      <c r="B55" t="str">
        <f t="shared" si="16"/>
        <v/>
      </c>
      <c r="C55" s="111" t="str">
        <f t="shared" si="8"/>
        <v/>
      </c>
      <c r="D55" t="str">
        <f t="shared" si="17"/>
        <v/>
      </c>
      <c r="E55" s="3" t="str">
        <f t="shared" si="9"/>
        <v/>
      </c>
      <c r="F55" t="str">
        <f t="shared" si="10"/>
        <v/>
      </c>
      <c r="G55">
        <v>40</v>
      </c>
      <c r="H55" t="str">
        <f>Data!A56</f>
        <v>ZZZZZZ Suspend</v>
      </c>
      <c r="I55" s="2" t="str">
        <f>Data!C56</f>
        <v/>
      </c>
      <c r="J55" s="2" t="str">
        <f>Data!D56</f>
        <v/>
      </c>
      <c r="K55" s="2" t="str">
        <f>Data!E56</f>
        <v/>
      </c>
      <c r="L55" s="2" t="str">
        <f>IF(Data!$S$3&lt;Engine!L$1,0,Data!F56)</f>
        <v/>
      </c>
      <c r="M55" s="2" t="str">
        <f>IF(Data!$S$3&lt;Engine!M$1,0,Data!G56)</f>
        <v/>
      </c>
      <c r="N55" s="2" t="str">
        <f>IF(Data!$S$3&lt;Engine!N$1,0,Data!H56)</f>
        <v/>
      </c>
      <c r="O55" s="2" t="str">
        <f>IF(Data!$S$3&lt;Engine!O$1,0,Data!I56)</f>
        <v/>
      </c>
      <c r="P55" s="2" t="str">
        <f>IF(Data!$S$3&lt;Engine!P$1,0,Data!J56)</f>
        <v/>
      </c>
      <c r="Q55" s="11" t="str">
        <f>IF(Data!B56=1,Data!K56,"No Tips")</f>
        <v>No Tips</v>
      </c>
      <c r="R55" s="2" t="str">
        <f>Data!L56</f>
        <v/>
      </c>
      <c r="S55" s="2" t="str">
        <f>Data!M56</f>
        <v/>
      </c>
      <c r="T55" s="1" t="str">
        <f>IF(I55="","",COUNTIF('Live Ladder'!P:P,I55)+COUNTIF('Live Ladder'!P:P,J55)+COUNTIF('Live Ladder'!P:P,K55)+COUNTIF('Live Ladder'!P:P,L55)+COUNTIF('Live Ladder'!P:P,M55)+COUNTIF('Live Ladder'!P:P,N55)+COUNTIF('Live Ladder'!P:P,O55)+COUNTIF('Live Ladder'!P:P,P55))</f>
        <v/>
      </c>
      <c r="U55" s="1" t="str">
        <f>IF(I55="","",IF(COUNTIF('Live Ladder'!P:P,Engine!Q55)=1,2,IF(COUNTIF('Live Ladder'!Q:Q,Engine!Q55)=1,-2,0)))</f>
        <v/>
      </c>
      <c r="V55" s="1" t="str">
        <f>IF(I55="","",IF(T55=Data!S$3,2,0))</f>
        <v/>
      </c>
      <c r="W55" s="1">
        <f t="shared" si="11"/>
        <v>-2</v>
      </c>
      <c r="X55" s="1">
        <f>IF(I55="",AE$2,IF(I55='Live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28</v>
      </c>
      <c r="Y55" t="str">
        <f t="shared" si="15"/>
        <v/>
      </c>
      <c r="Z55" t="str">
        <f t="shared" si="12"/>
        <v/>
      </c>
      <c r="AA55" s="111" t="str">
        <f t="shared" si="13"/>
        <v/>
      </c>
      <c r="AB55" t="str">
        <f t="shared" si="6"/>
        <v/>
      </c>
      <c r="AC55" t="str">
        <f>IF(I55="","",IF(I55='Live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
      </c>
      <c r="AF55" t="str">
        <f>IF(I55="","",IF(Q55="",0,IF(AND(Q55&gt;0,COUNTIF('Stats Calculator'!$T$24:$AA$24,Q55)=1),HLOOKUP(Q55,'Stats Calculator'!$T$24:$AA$27,4,FALSE),IF(AND(Q55&gt;0,COUNTIF('Stats Calculator'!$T$25:$AA$25,Q55)=1),HLOOKUP(Q55,'Stats Calculator'!$T$25:$AA$27,3,FALSE)))))</f>
        <v/>
      </c>
      <c r="AG55" t="str">
        <f>IF(I55="","",COUNTIF(I55,'Stats Calculator'!E$31)+COUNTIF(J55,'Stats Calculator'!E$32)+COUNTIF(K55,'Stats Calculator'!E$33)+COUNTIF(L55,'Stats Calculator'!E$34)+COUNTIF(M55,'Stats Calculator'!E$35)+COUNTIF(N55,'Stats Calculator'!E$36)+COUNTIF(O55,'Stats Calculator'!E$37)+COUNTIF(P55,'Stats Calculator'!E$38)-8+Data!S$3)</f>
        <v/>
      </c>
      <c r="AH55" t="str">
        <f>IF(I55="","",IF(Q55="",0,IF(Q55=0,0,IF(VLOOKUP(Engine!AF55,'Stats Calculator'!B$31:E$38,4,FALSE)="",0,IF(VLOOKUP(Engine!AF55,'Stats Calculator'!B$31:E$38,4,FALSE)=Q55,2,-2)))))</f>
        <v/>
      </c>
      <c r="AI55" t="str">
        <f>IF(I55="","",Data!S$3-COUNTA('Stats Calculator'!E$31:E$38))</f>
        <v/>
      </c>
      <c r="AJ55" t="str">
        <f>IF(I55="","",IF(AF55=0,0,IF(VLOOKUP(AF55,'Stats Calculator'!B$31:E$38,4,FALSE)&gt;0,0,2)))</f>
        <v/>
      </c>
      <c r="AK55" t="str">
        <f>IF(I55="","",IF(Data!S$3-Engine!AI55=AG55,2,0))</f>
        <v/>
      </c>
      <c r="AL55" t="str">
        <f t="shared" si="14"/>
        <v/>
      </c>
    </row>
    <row r="56" spans="1:38" x14ac:dyDescent="0.35">
      <c r="A56">
        <v>55</v>
      </c>
      <c r="B56" t="str">
        <f t="shared" si="16"/>
        <v/>
      </c>
      <c r="C56" s="111" t="str">
        <f t="shared" si="8"/>
        <v/>
      </c>
      <c r="D56" t="str">
        <f t="shared" si="17"/>
        <v/>
      </c>
      <c r="E56" s="3" t="str">
        <f t="shared" si="9"/>
        <v/>
      </c>
      <c r="F56" t="str">
        <f t="shared" si="10"/>
        <v/>
      </c>
      <c r="G56">
        <v>39</v>
      </c>
      <c r="H56" t="str">
        <f>Data!A57</f>
        <v>ZZZZZZ Suspend</v>
      </c>
      <c r="I56" s="2" t="str">
        <f>Data!C57</f>
        <v/>
      </c>
      <c r="J56" s="2" t="str">
        <f>Data!D57</f>
        <v/>
      </c>
      <c r="K56" s="2" t="str">
        <f>Data!E57</f>
        <v/>
      </c>
      <c r="L56" s="2" t="str">
        <f>IF(Data!$S$3&lt;Engine!L$1,0,Data!F57)</f>
        <v/>
      </c>
      <c r="M56" s="2" t="str">
        <f>IF(Data!$S$3&lt;Engine!M$1,0,Data!G57)</f>
        <v/>
      </c>
      <c r="N56" s="2" t="str">
        <f>IF(Data!$S$3&lt;Engine!N$1,0,Data!H57)</f>
        <v/>
      </c>
      <c r="O56" s="2" t="str">
        <f>IF(Data!$S$3&lt;Engine!O$1,0,Data!I57)</f>
        <v/>
      </c>
      <c r="P56" s="2" t="str">
        <f>IF(Data!$S$3&lt;Engine!P$1,0,Data!J57)</f>
        <v/>
      </c>
      <c r="Q56" s="11" t="str">
        <f>IF(Data!B57=1,Data!K57,"No Tips")</f>
        <v>No Tips</v>
      </c>
      <c r="R56" s="2" t="str">
        <f>Data!L57</f>
        <v/>
      </c>
      <c r="S56" s="2" t="str">
        <f>Data!M57</f>
        <v/>
      </c>
      <c r="T56" s="1" t="str">
        <f>IF(I56="","",COUNTIF('Live Ladder'!P:P,I56)+COUNTIF('Live Ladder'!P:P,J56)+COUNTIF('Live Ladder'!P:P,K56)+COUNTIF('Live Ladder'!P:P,L56)+COUNTIF('Live Ladder'!P:P,M56)+COUNTIF('Live Ladder'!P:P,N56)+COUNTIF('Live Ladder'!P:P,O56)+COUNTIF('Live Ladder'!P:P,P56))</f>
        <v/>
      </c>
      <c r="U56" s="1" t="str">
        <f>IF(I56="","",IF(COUNTIF('Live Ladder'!P:P,Engine!Q56)=1,2,IF(COUNTIF('Live Ladder'!Q:Q,Engine!Q56)=1,-2,0)))</f>
        <v/>
      </c>
      <c r="V56" s="1" t="str">
        <f>IF(I56="","",IF(T56=Data!S$3,2,0))</f>
        <v/>
      </c>
      <c r="W56" s="1">
        <f t="shared" si="11"/>
        <v>-2</v>
      </c>
      <c r="X56" s="1">
        <f>IF(I56="",AE$2,IF(I56='Live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28</v>
      </c>
      <c r="Y56" t="str">
        <f t="shared" si="15"/>
        <v/>
      </c>
      <c r="Z56" t="str">
        <f t="shared" si="12"/>
        <v/>
      </c>
      <c r="AA56" s="111" t="str">
        <f t="shared" si="13"/>
        <v/>
      </c>
      <c r="AB56" t="str">
        <f t="shared" si="6"/>
        <v/>
      </c>
      <c r="AC56" t="str">
        <f>IF(I56="","",IF(I56='Live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
      </c>
      <c r="AF56" t="str">
        <f>IF(I56="","",IF(Q56="",0,IF(AND(Q56&gt;0,COUNTIF('Stats Calculator'!$T$24:$AA$24,Q56)=1),HLOOKUP(Q56,'Stats Calculator'!$T$24:$AA$27,4,FALSE),IF(AND(Q56&gt;0,COUNTIF('Stats Calculator'!$T$25:$AA$25,Q56)=1),HLOOKUP(Q56,'Stats Calculator'!$T$25:$AA$27,3,FALSE)))))</f>
        <v/>
      </c>
      <c r="AG56" t="str">
        <f>IF(I56="","",COUNTIF(I56,'Stats Calculator'!E$31)+COUNTIF(J56,'Stats Calculator'!E$32)+COUNTIF(K56,'Stats Calculator'!E$33)+COUNTIF(L56,'Stats Calculator'!E$34)+COUNTIF(M56,'Stats Calculator'!E$35)+COUNTIF(N56,'Stats Calculator'!E$36)+COUNTIF(O56,'Stats Calculator'!E$37)+COUNTIF(P56,'Stats Calculator'!E$38)-8+Data!S$3)</f>
        <v/>
      </c>
      <c r="AH56" t="str">
        <f>IF(I56="","",IF(Q56="",0,IF(Q56=0,0,IF(VLOOKUP(Engine!AF56,'Stats Calculator'!B$31:E$38,4,FALSE)="",0,IF(VLOOKUP(Engine!AF56,'Stats Calculator'!B$31:E$38,4,FALSE)=Q56,2,-2)))))</f>
        <v/>
      </c>
      <c r="AI56" t="str">
        <f>IF(I56="","",Data!S$3-COUNTA('Stats Calculator'!E$31:E$38))</f>
        <v/>
      </c>
      <c r="AJ56" t="str">
        <f>IF(I56="","",IF(AF56=0,0,IF(VLOOKUP(AF56,'Stats Calculator'!B$31:E$38,4,FALSE)&gt;0,0,2)))</f>
        <v/>
      </c>
      <c r="AK56" t="str">
        <f>IF(I56="","",IF(Data!S$3-Engine!AI56=AG56,2,0))</f>
        <v/>
      </c>
      <c r="AL56" t="str">
        <f t="shared" si="14"/>
        <v/>
      </c>
    </row>
    <row r="57" spans="1:38" x14ac:dyDescent="0.35">
      <c r="A57">
        <v>56</v>
      </c>
      <c r="B57" t="str">
        <f t="shared" si="16"/>
        <v/>
      </c>
      <c r="C57" s="111" t="str">
        <f t="shared" si="8"/>
        <v/>
      </c>
      <c r="D57" t="str">
        <f t="shared" si="17"/>
        <v/>
      </c>
      <c r="E57" s="3" t="str">
        <f t="shared" si="9"/>
        <v/>
      </c>
      <c r="F57" t="str">
        <f t="shared" si="10"/>
        <v/>
      </c>
      <c r="G57">
        <v>38</v>
      </c>
      <c r="H57" t="str">
        <f>Data!A58</f>
        <v>ZZZZZZ Suspend</v>
      </c>
      <c r="I57" s="2" t="str">
        <f>Data!C58</f>
        <v/>
      </c>
      <c r="J57" s="2" t="str">
        <f>Data!D58</f>
        <v/>
      </c>
      <c r="K57" s="2" t="str">
        <f>Data!E58</f>
        <v/>
      </c>
      <c r="L57" s="2" t="str">
        <f>IF(Data!$S$3&lt;Engine!L$1,0,Data!F58)</f>
        <v/>
      </c>
      <c r="M57" s="2" t="str">
        <f>IF(Data!$S$3&lt;Engine!M$1,0,Data!G58)</f>
        <v/>
      </c>
      <c r="N57" s="2" t="str">
        <f>IF(Data!$S$3&lt;Engine!N$1,0,Data!H58)</f>
        <v/>
      </c>
      <c r="O57" s="2" t="str">
        <f>IF(Data!$S$3&lt;Engine!O$1,0,Data!I58)</f>
        <v/>
      </c>
      <c r="P57" s="2" t="str">
        <f>IF(Data!$S$3&lt;Engine!P$1,0,Data!J58)</f>
        <v/>
      </c>
      <c r="Q57" s="11" t="str">
        <f>IF(Data!B58=1,Data!K58,"No Tips")</f>
        <v>No Tips</v>
      </c>
      <c r="R57" s="2" t="str">
        <f>Data!L58</f>
        <v/>
      </c>
      <c r="S57" s="2" t="str">
        <f>Data!M58</f>
        <v/>
      </c>
      <c r="T57" s="1" t="str">
        <f>IF(I57="","",COUNTIF('Live Ladder'!P:P,I57)+COUNTIF('Live Ladder'!P:P,J57)+COUNTIF('Live Ladder'!P:P,K57)+COUNTIF('Live Ladder'!P:P,L57)+COUNTIF('Live Ladder'!P:P,M57)+COUNTIF('Live Ladder'!P:P,N57)+COUNTIF('Live Ladder'!P:P,O57)+COUNTIF('Live Ladder'!P:P,P57))</f>
        <v/>
      </c>
      <c r="U57" s="1" t="str">
        <f>IF(I57="","",IF(COUNTIF('Live Ladder'!P:P,Engine!Q57)=1,2,IF(COUNTIF('Live Ladder'!Q:Q,Engine!Q57)=1,-2,0)))</f>
        <v/>
      </c>
      <c r="V57" s="1" t="str">
        <f>IF(I57="","",IF(T57=Data!S$3,2,0))</f>
        <v/>
      </c>
      <c r="W57" s="1">
        <f t="shared" si="11"/>
        <v>-2</v>
      </c>
      <c r="X57" s="1">
        <f>IF(I57="",AE$2,IF(I57='Live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28</v>
      </c>
      <c r="Y57" t="str">
        <f t="shared" si="15"/>
        <v/>
      </c>
      <c r="Z57" t="str">
        <f t="shared" si="12"/>
        <v/>
      </c>
      <c r="AA57" s="111" t="str">
        <f t="shared" si="13"/>
        <v/>
      </c>
      <c r="AB57" t="str">
        <f t="shared" si="6"/>
        <v/>
      </c>
      <c r="AC57" t="str">
        <f>IF(I57="","",IF(I57='Live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
      </c>
      <c r="AF57" t="str">
        <f>IF(I57="","",IF(Q57="",0,IF(AND(Q57&gt;0,COUNTIF('Stats Calculator'!$T$24:$AA$24,Q57)=1),HLOOKUP(Q57,'Stats Calculator'!$T$24:$AA$27,4,FALSE),IF(AND(Q57&gt;0,COUNTIF('Stats Calculator'!$T$25:$AA$25,Q57)=1),HLOOKUP(Q57,'Stats Calculator'!$T$25:$AA$27,3,FALSE)))))</f>
        <v/>
      </c>
      <c r="AG57" t="str">
        <f>IF(I57="","",COUNTIF(I57,'Stats Calculator'!E$31)+COUNTIF(J57,'Stats Calculator'!E$32)+COUNTIF(K57,'Stats Calculator'!E$33)+COUNTIF(L57,'Stats Calculator'!E$34)+COUNTIF(M57,'Stats Calculator'!E$35)+COUNTIF(N57,'Stats Calculator'!E$36)+COUNTIF(O57,'Stats Calculator'!E$37)+COUNTIF(P57,'Stats Calculator'!E$38)-8+Data!S$3)</f>
        <v/>
      </c>
      <c r="AH57" t="str">
        <f>IF(I57="","",IF(Q57="",0,IF(Q57=0,0,IF(VLOOKUP(Engine!AF57,'Stats Calculator'!B$31:E$38,4,FALSE)="",0,IF(VLOOKUP(Engine!AF57,'Stats Calculator'!B$31:E$38,4,FALSE)=Q57,2,-2)))))</f>
        <v/>
      </c>
      <c r="AI57" t="str">
        <f>IF(I57="","",Data!S$3-COUNTA('Stats Calculator'!E$31:E$38))</f>
        <v/>
      </c>
      <c r="AJ57" t="str">
        <f>IF(I57="","",IF(AF57=0,0,IF(VLOOKUP(AF57,'Stats Calculator'!B$31:E$38,4,FALSE)&gt;0,0,2)))</f>
        <v/>
      </c>
      <c r="AK57" t="str">
        <f>IF(I57="","",IF(Data!S$3-Engine!AI57=AG57,2,0))</f>
        <v/>
      </c>
      <c r="AL57" t="str">
        <f t="shared" si="14"/>
        <v/>
      </c>
    </row>
    <row r="58" spans="1:38" x14ac:dyDescent="0.35">
      <c r="A58">
        <v>57</v>
      </c>
      <c r="B58" t="str">
        <f t="shared" si="16"/>
        <v/>
      </c>
      <c r="C58" s="111" t="str">
        <f t="shared" si="8"/>
        <v/>
      </c>
      <c r="D58" t="str">
        <f t="shared" si="17"/>
        <v/>
      </c>
      <c r="E58" s="3" t="str">
        <f t="shared" si="9"/>
        <v/>
      </c>
      <c r="F58" t="str">
        <f t="shared" si="10"/>
        <v/>
      </c>
      <c r="G58">
        <v>37</v>
      </c>
      <c r="H58" t="str">
        <f>Data!A59</f>
        <v>ZZZZZZ Suspend</v>
      </c>
      <c r="I58" s="2" t="str">
        <f>Data!C59</f>
        <v/>
      </c>
      <c r="J58" s="2" t="str">
        <f>Data!D59</f>
        <v/>
      </c>
      <c r="K58" s="2" t="str">
        <f>Data!E59</f>
        <v/>
      </c>
      <c r="L58" s="2" t="str">
        <f>IF(Data!$S$3&lt;Engine!L$1,0,Data!F59)</f>
        <v/>
      </c>
      <c r="M58" s="2" t="str">
        <f>IF(Data!$S$3&lt;Engine!M$1,0,Data!G59)</f>
        <v/>
      </c>
      <c r="N58" s="2" t="str">
        <f>IF(Data!$S$3&lt;Engine!N$1,0,Data!H59)</f>
        <v/>
      </c>
      <c r="O58" s="2" t="str">
        <f>IF(Data!$S$3&lt;Engine!O$1,0,Data!I59)</f>
        <v/>
      </c>
      <c r="P58" s="2" t="str">
        <f>IF(Data!$S$3&lt;Engine!P$1,0,Data!J59)</f>
        <v/>
      </c>
      <c r="Q58" s="11" t="str">
        <f>IF(Data!B59=1,Data!K59,"No Tips")</f>
        <v>No Tips</v>
      </c>
      <c r="R58" s="2" t="str">
        <f>Data!L59</f>
        <v/>
      </c>
      <c r="S58" s="2" t="str">
        <f>Data!M59</f>
        <v/>
      </c>
      <c r="T58" s="1" t="str">
        <f>IF(I58="","",COUNTIF('Live Ladder'!P:P,I58)+COUNTIF('Live Ladder'!P:P,J58)+COUNTIF('Live Ladder'!P:P,K58)+COUNTIF('Live Ladder'!P:P,L58)+COUNTIF('Live Ladder'!P:P,M58)+COUNTIF('Live Ladder'!P:P,N58)+COUNTIF('Live Ladder'!P:P,O58)+COUNTIF('Live Ladder'!P:P,P58))</f>
        <v/>
      </c>
      <c r="U58" s="1" t="str">
        <f>IF(I58="","",IF(COUNTIF('Live Ladder'!P:P,Engine!Q58)=1,2,IF(COUNTIF('Live Ladder'!Q:Q,Engine!Q58)=1,-2,0)))</f>
        <v/>
      </c>
      <c r="V58" s="1" t="str">
        <f>IF(I58="","",IF(T58=Data!S$3,2,0))</f>
        <v/>
      </c>
      <c r="W58" s="1">
        <f t="shared" si="11"/>
        <v>-2</v>
      </c>
      <c r="X58" s="1">
        <f>IF(I58="",AE$2,IF(I58='Live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28</v>
      </c>
      <c r="Y58" t="str">
        <f t="shared" si="15"/>
        <v/>
      </c>
      <c r="Z58" t="str">
        <f t="shared" si="12"/>
        <v/>
      </c>
      <c r="AA58" s="111" t="str">
        <f t="shared" si="13"/>
        <v/>
      </c>
      <c r="AB58" t="str">
        <f t="shared" si="6"/>
        <v/>
      </c>
      <c r="AC58" t="str">
        <f>IF(I58="","",IF(I58='Live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
      </c>
      <c r="AF58" t="str">
        <f>IF(I58="","",IF(Q58="",0,IF(AND(Q58&gt;0,COUNTIF('Stats Calculator'!$T$24:$AA$24,Q58)=1),HLOOKUP(Q58,'Stats Calculator'!$T$24:$AA$27,4,FALSE),IF(AND(Q58&gt;0,COUNTIF('Stats Calculator'!$T$25:$AA$25,Q58)=1),HLOOKUP(Q58,'Stats Calculator'!$T$25:$AA$27,3,FALSE)))))</f>
        <v/>
      </c>
      <c r="AG58" t="str">
        <f>IF(I58="","",COUNTIF(I58,'Stats Calculator'!E$31)+COUNTIF(J58,'Stats Calculator'!E$32)+COUNTIF(K58,'Stats Calculator'!E$33)+COUNTIF(L58,'Stats Calculator'!E$34)+COUNTIF(M58,'Stats Calculator'!E$35)+COUNTIF(N58,'Stats Calculator'!E$36)+COUNTIF(O58,'Stats Calculator'!E$37)+COUNTIF(P58,'Stats Calculator'!E$38)-8+Data!S$3)</f>
        <v/>
      </c>
      <c r="AH58" t="str">
        <f>IF(I58="","",IF(Q58="",0,IF(Q58=0,0,IF(VLOOKUP(Engine!AF58,'Stats Calculator'!B$31:E$38,4,FALSE)="",0,IF(VLOOKUP(Engine!AF58,'Stats Calculator'!B$31:E$38,4,FALSE)=Q58,2,-2)))))</f>
        <v/>
      </c>
      <c r="AI58" t="str">
        <f>IF(I58="","",Data!S$3-COUNTA('Stats Calculator'!E$31:E$38))</f>
        <v/>
      </c>
      <c r="AJ58" t="str">
        <f>IF(I58="","",IF(AF58=0,0,IF(VLOOKUP(AF58,'Stats Calculator'!B$31:E$38,4,FALSE)&gt;0,0,2)))</f>
        <v/>
      </c>
      <c r="AK58" t="str">
        <f>IF(I58="","",IF(Data!S$3-Engine!AI58=AG58,2,0))</f>
        <v/>
      </c>
      <c r="AL58" t="str">
        <f t="shared" si="14"/>
        <v/>
      </c>
    </row>
    <row r="59" spans="1:38" x14ac:dyDescent="0.35">
      <c r="A59">
        <v>58</v>
      </c>
      <c r="B59" t="str">
        <f t="shared" si="16"/>
        <v/>
      </c>
      <c r="C59" s="111" t="str">
        <f t="shared" si="8"/>
        <v/>
      </c>
      <c r="D59" t="str">
        <f t="shared" si="17"/>
        <v/>
      </c>
      <c r="E59" s="3" t="str">
        <f t="shared" si="9"/>
        <v/>
      </c>
      <c r="F59" t="str">
        <f t="shared" si="10"/>
        <v/>
      </c>
      <c r="G59">
        <v>36</v>
      </c>
      <c r="H59" t="str">
        <f>Data!A60</f>
        <v>ZZZZZZ Suspend</v>
      </c>
      <c r="I59" s="2" t="str">
        <f>Data!C60</f>
        <v/>
      </c>
      <c r="J59" s="2" t="str">
        <f>Data!D60</f>
        <v/>
      </c>
      <c r="K59" s="2" t="str">
        <f>Data!E60</f>
        <v/>
      </c>
      <c r="L59" s="2" t="str">
        <f>IF(Data!$S$3&lt;Engine!L$1,0,Data!F60)</f>
        <v/>
      </c>
      <c r="M59" s="2" t="str">
        <f>IF(Data!$S$3&lt;Engine!M$1,0,Data!G60)</f>
        <v/>
      </c>
      <c r="N59" s="2" t="str">
        <f>IF(Data!$S$3&lt;Engine!N$1,0,Data!H60)</f>
        <v/>
      </c>
      <c r="O59" s="2" t="str">
        <f>IF(Data!$S$3&lt;Engine!O$1,0,Data!I60)</f>
        <v/>
      </c>
      <c r="P59" s="2" t="str">
        <f>IF(Data!$S$3&lt;Engine!P$1,0,Data!J60)</f>
        <v/>
      </c>
      <c r="Q59" s="11" t="str">
        <f>IF(Data!B60=1,Data!K60,"No Tips")</f>
        <v>No Tips</v>
      </c>
      <c r="R59" s="2" t="str">
        <f>Data!L60</f>
        <v/>
      </c>
      <c r="S59" s="2" t="str">
        <f>Data!M60</f>
        <v/>
      </c>
      <c r="T59" s="1" t="str">
        <f>IF(I59="","",COUNTIF('Live Ladder'!P:P,I59)+COUNTIF('Live Ladder'!P:P,J59)+COUNTIF('Live Ladder'!P:P,K59)+COUNTIF('Live Ladder'!P:P,L59)+COUNTIF('Live Ladder'!P:P,M59)+COUNTIF('Live Ladder'!P:P,N59)+COUNTIF('Live Ladder'!P:P,O59)+COUNTIF('Live Ladder'!P:P,P59))</f>
        <v/>
      </c>
      <c r="U59" s="1" t="str">
        <f>IF(I59="","",IF(COUNTIF('Live Ladder'!P:P,Engine!Q59)=1,2,IF(COUNTIF('Live Ladder'!Q:Q,Engine!Q59)=1,-2,0)))</f>
        <v/>
      </c>
      <c r="V59" s="1" t="str">
        <f>IF(I59="","",IF(T59=Data!S$3,2,0))</f>
        <v/>
      </c>
      <c r="W59" s="1">
        <f t="shared" si="11"/>
        <v>-2</v>
      </c>
      <c r="X59" s="1">
        <f>IF(I59="",AE$2,IF(I59='Live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28</v>
      </c>
      <c r="Y59" t="str">
        <f t="shared" si="15"/>
        <v/>
      </c>
      <c r="Z59" t="str">
        <f t="shared" si="12"/>
        <v/>
      </c>
      <c r="AA59" s="111" t="str">
        <f t="shared" si="13"/>
        <v/>
      </c>
      <c r="AB59" t="str">
        <f t="shared" si="6"/>
        <v/>
      </c>
      <c r="AC59" t="str">
        <f>IF(I59="","",IF(I59='Live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
      </c>
      <c r="AF59" t="str">
        <f>IF(I59="","",IF(Q59="",0,IF(AND(Q59&gt;0,COUNTIF('Stats Calculator'!$T$24:$AA$24,Q59)=1),HLOOKUP(Q59,'Stats Calculator'!$T$24:$AA$27,4,FALSE),IF(AND(Q59&gt;0,COUNTIF('Stats Calculator'!$T$25:$AA$25,Q59)=1),HLOOKUP(Q59,'Stats Calculator'!$T$25:$AA$27,3,FALSE)))))</f>
        <v/>
      </c>
      <c r="AG59" t="str">
        <f>IF(I59="","",COUNTIF(I59,'Stats Calculator'!E$31)+COUNTIF(J59,'Stats Calculator'!E$32)+COUNTIF(K59,'Stats Calculator'!E$33)+COUNTIF(L59,'Stats Calculator'!E$34)+COUNTIF(M59,'Stats Calculator'!E$35)+COUNTIF(N59,'Stats Calculator'!E$36)+COUNTIF(O59,'Stats Calculator'!E$37)+COUNTIF(P59,'Stats Calculator'!E$38)-8+Data!S$3)</f>
        <v/>
      </c>
      <c r="AH59" t="str">
        <f>IF(I59="","",IF(Q59="",0,IF(Q59=0,0,IF(VLOOKUP(Engine!AF59,'Stats Calculator'!B$31:E$38,4,FALSE)="",0,IF(VLOOKUP(Engine!AF59,'Stats Calculator'!B$31:E$38,4,FALSE)=Q59,2,-2)))))</f>
        <v/>
      </c>
      <c r="AI59" t="str">
        <f>IF(I59="","",Data!S$3-COUNTA('Stats Calculator'!E$31:E$38))</f>
        <v/>
      </c>
      <c r="AJ59" t="str">
        <f>IF(I59="","",IF(AF59=0,0,IF(VLOOKUP(AF59,'Stats Calculator'!B$31:E$38,4,FALSE)&gt;0,0,2)))</f>
        <v/>
      </c>
      <c r="AK59" t="str">
        <f>IF(I59="","",IF(Data!S$3-Engine!AI59=AG59,2,0))</f>
        <v/>
      </c>
      <c r="AL59" t="str">
        <f t="shared" si="14"/>
        <v/>
      </c>
    </row>
    <row r="60" spans="1:38" x14ac:dyDescent="0.35">
      <c r="A60">
        <v>59</v>
      </c>
      <c r="B60" t="str">
        <f t="shared" si="16"/>
        <v/>
      </c>
      <c r="C60" s="111" t="str">
        <f t="shared" si="8"/>
        <v/>
      </c>
      <c r="D60" t="str">
        <f t="shared" si="17"/>
        <v/>
      </c>
      <c r="E60" s="3" t="str">
        <f t="shared" si="9"/>
        <v/>
      </c>
      <c r="F60" t="str">
        <f t="shared" si="10"/>
        <v/>
      </c>
      <c r="G60">
        <v>26</v>
      </c>
      <c r="H60" t="str">
        <f>Data!A70</f>
        <v>ZZZZZZ Suspend</v>
      </c>
      <c r="I60" s="2" t="str">
        <f>Data!C70</f>
        <v/>
      </c>
      <c r="J60" s="2" t="str">
        <f>Data!D70</f>
        <v/>
      </c>
      <c r="K60" s="2" t="str">
        <f>Data!E70</f>
        <v/>
      </c>
      <c r="L60" s="2" t="str">
        <f>IF(Data!$S$3&lt;Engine!L$1,0,Data!F70)</f>
        <v/>
      </c>
      <c r="M60" s="2" t="str">
        <f>IF(Data!$S$3&lt;Engine!M$1,0,Data!G70)</f>
        <v/>
      </c>
      <c r="N60" s="2" t="str">
        <f>IF(Data!$S$3&lt;Engine!N$1,0,Data!H70)</f>
        <v/>
      </c>
      <c r="O60" s="2" t="str">
        <f>IF(Data!$S$3&lt;Engine!O$1,0,Data!I70)</f>
        <v/>
      </c>
      <c r="P60" s="2" t="str">
        <f>IF(Data!$S$3&lt;Engine!P$1,0,Data!J70)</f>
        <v/>
      </c>
      <c r="Q60" s="11" t="str">
        <f>IF(Data!B70=1,Data!K70,"No Tips")</f>
        <v>No Tips</v>
      </c>
      <c r="R60" s="2" t="str">
        <f>Data!L70</f>
        <v/>
      </c>
      <c r="S60" s="2" t="str">
        <f>Data!M70</f>
        <v/>
      </c>
      <c r="T60" s="1" t="str">
        <f>IF(I60="","",COUNTIF('Live Ladder'!P:P,I60)+COUNTIF('Live Ladder'!P:P,J60)+COUNTIF('Live Ladder'!P:P,K60)+COUNTIF('Live Ladder'!P:P,L60)+COUNTIF('Live Ladder'!P:P,M60)+COUNTIF('Live Ladder'!P:P,N60)+COUNTIF('Live Ladder'!P:P,O60)+COUNTIF('Live Ladder'!P:P,P60))</f>
        <v/>
      </c>
      <c r="U60" s="1" t="str">
        <f>IF(I60="","",IF(COUNTIF('Live Ladder'!P:P,Engine!Q60)=1,2,IF(COUNTIF('Live Ladder'!Q:Q,Engine!Q60)=1,-2,0)))</f>
        <v/>
      </c>
      <c r="V60" s="1" t="str">
        <f>IF(I60="","",IF(T60=Data!S$3,2,0))</f>
        <v/>
      </c>
      <c r="W60" s="1">
        <f t="shared" si="11"/>
        <v>-2</v>
      </c>
      <c r="X60" s="1">
        <f>IF(I60="",AE$2,IF(I60='Live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28</v>
      </c>
      <c r="Y60" t="str">
        <f t="shared" si="15"/>
        <v/>
      </c>
      <c r="Z60" t="str">
        <f t="shared" si="12"/>
        <v/>
      </c>
      <c r="AA60" s="111" t="str">
        <f t="shared" si="13"/>
        <v/>
      </c>
      <c r="AB60" t="str">
        <f t="shared" si="6"/>
        <v/>
      </c>
      <c r="AC60" t="str">
        <f>IF(I60="","",IF(I60='Live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
      </c>
      <c r="AF60" t="str">
        <f>IF(I60="","",IF(Q60="",0,IF(AND(Q60&gt;0,COUNTIF('Stats Calculator'!$T$24:$AA$24,Q60)=1),HLOOKUP(Q60,'Stats Calculator'!$T$24:$AA$27,4,FALSE),IF(AND(Q60&gt;0,COUNTIF('Stats Calculator'!$T$25:$AA$25,Q60)=1),HLOOKUP(Q60,'Stats Calculator'!$T$25:$AA$27,3,FALSE)))))</f>
        <v/>
      </c>
      <c r="AG60" t="str">
        <f>IF(I60="","",COUNTIF(I60,'Stats Calculator'!E$31)+COUNTIF(J60,'Stats Calculator'!E$32)+COUNTIF(K60,'Stats Calculator'!E$33)+COUNTIF(L60,'Stats Calculator'!E$34)+COUNTIF(M60,'Stats Calculator'!E$35)+COUNTIF(N60,'Stats Calculator'!E$36)+COUNTIF(O60,'Stats Calculator'!E$37)+COUNTIF(P60,'Stats Calculator'!E$38)-8+Data!S$3)</f>
        <v/>
      </c>
      <c r="AH60" t="str">
        <f>IF(I60="","",IF(Q60="",0,IF(Q60=0,0,IF(VLOOKUP(Engine!AF60,'Stats Calculator'!B$31:E$38,4,FALSE)="",0,IF(VLOOKUP(Engine!AF60,'Stats Calculator'!B$31:E$38,4,FALSE)=Q60,2,-2)))))</f>
        <v/>
      </c>
      <c r="AI60" t="str">
        <f>IF(I60="","",Data!S$3-COUNTA('Stats Calculator'!E$31:E$38))</f>
        <v/>
      </c>
      <c r="AJ60" t="str">
        <f>IF(I60="","",IF(AF60=0,0,IF(VLOOKUP(AF60,'Stats Calculator'!B$31:E$38,4,FALSE)&gt;0,0,2)))</f>
        <v/>
      </c>
      <c r="AK60" t="str">
        <f>IF(I60="","",IF(Data!S$3-Engine!AI60=AG60,2,0))</f>
        <v/>
      </c>
      <c r="AL60" t="str">
        <f t="shared" si="14"/>
        <v/>
      </c>
    </row>
    <row r="61" spans="1:38" x14ac:dyDescent="0.35">
      <c r="A61">
        <v>60</v>
      </c>
      <c r="B61" t="str">
        <f t="shared" si="16"/>
        <v/>
      </c>
      <c r="C61" s="111" t="str">
        <f t="shared" si="8"/>
        <v/>
      </c>
      <c r="D61" t="str">
        <f t="shared" si="17"/>
        <v/>
      </c>
      <c r="E61" s="3" t="str">
        <f t="shared" si="9"/>
        <v/>
      </c>
      <c r="F61" t="str">
        <f t="shared" si="10"/>
        <v/>
      </c>
      <c r="G61">
        <v>35</v>
      </c>
      <c r="H61" t="str">
        <f>Data!A61</f>
        <v>ZZZZZZ Suspend</v>
      </c>
      <c r="I61" s="2" t="str">
        <f>Data!C61</f>
        <v/>
      </c>
      <c r="J61" s="2" t="str">
        <f>Data!D61</f>
        <v/>
      </c>
      <c r="K61" s="2" t="str">
        <f>Data!E61</f>
        <v/>
      </c>
      <c r="L61" s="2" t="str">
        <f>IF(Data!$S$3&lt;Engine!L$1,0,Data!F61)</f>
        <v/>
      </c>
      <c r="M61" s="2" t="str">
        <f>IF(Data!$S$3&lt;Engine!M$1,0,Data!G61)</f>
        <v/>
      </c>
      <c r="N61" s="2" t="str">
        <f>IF(Data!$S$3&lt;Engine!N$1,0,Data!H61)</f>
        <v/>
      </c>
      <c r="O61" s="2" t="str">
        <f>IF(Data!$S$3&lt;Engine!O$1,0,Data!I61)</f>
        <v/>
      </c>
      <c r="P61" s="2" t="str">
        <f>IF(Data!$S$3&lt;Engine!P$1,0,Data!J61)</f>
        <v/>
      </c>
      <c r="Q61" s="11" t="str">
        <f>IF(Data!B61=1,Data!K61,"No Tips")</f>
        <v>No Tips</v>
      </c>
      <c r="R61" s="2" t="str">
        <f>Data!L61</f>
        <v/>
      </c>
      <c r="S61" s="2" t="str">
        <f>Data!M61</f>
        <v/>
      </c>
      <c r="T61" s="1" t="str">
        <f>IF(I61="","",COUNTIF('Live Ladder'!P:P,I61)+COUNTIF('Live Ladder'!P:P,J61)+COUNTIF('Live Ladder'!P:P,K61)+COUNTIF('Live Ladder'!P:P,L61)+COUNTIF('Live Ladder'!P:P,M61)+COUNTIF('Live Ladder'!P:P,N61)+COUNTIF('Live Ladder'!P:P,O61)+COUNTIF('Live Ladder'!P:P,P61))</f>
        <v/>
      </c>
      <c r="U61" s="1" t="str">
        <f>IF(I61="","",IF(COUNTIF('Live Ladder'!P:P,Engine!Q61)=1,2,IF(COUNTIF('Live Ladder'!Q:Q,Engine!Q61)=1,-2,0)))</f>
        <v/>
      </c>
      <c r="V61" s="1" t="str">
        <f>IF(I61="","",IF(T61=Data!S$3,2,0))</f>
        <v/>
      </c>
      <c r="W61" s="1">
        <f t="shared" si="11"/>
        <v>-2</v>
      </c>
      <c r="X61" s="1">
        <f>IF(I61="",AE$2,IF(I61='Live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28</v>
      </c>
      <c r="Y61" t="str">
        <f t="shared" si="15"/>
        <v/>
      </c>
      <c r="Z61" t="str">
        <f t="shared" si="12"/>
        <v/>
      </c>
      <c r="AA61" s="111" t="str">
        <f t="shared" si="13"/>
        <v/>
      </c>
      <c r="AB61" t="str">
        <f t="shared" si="6"/>
        <v/>
      </c>
      <c r="AC61" t="str">
        <f>IF(I61="","",IF(I61='Live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
      </c>
      <c r="AF61" t="str">
        <f>IF(I61="","",IF(Q61="",0,IF(AND(Q61&gt;0,COUNTIF('Stats Calculator'!$T$24:$AA$24,Q61)=1),HLOOKUP(Q61,'Stats Calculator'!$T$24:$AA$27,4,FALSE),IF(AND(Q61&gt;0,COUNTIF('Stats Calculator'!$T$25:$AA$25,Q61)=1),HLOOKUP(Q61,'Stats Calculator'!$T$25:$AA$27,3,FALSE)))))</f>
        <v/>
      </c>
      <c r="AG61" t="str">
        <f>IF(I61="","",COUNTIF(I61,'Stats Calculator'!E$31)+COUNTIF(J61,'Stats Calculator'!E$32)+COUNTIF(K61,'Stats Calculator'!E$33)+COUNTIF(L61,'Stats Calculator'!E$34)+COUNTIF(M61,'Stats Calculator'!E$35)+COUNTIF(N61,'Stats Calculator'!E$36)+COUNTIF(O61,'Stats Calculator'!E$37)+COUNTIF(P61,'Stats Calculator'!E$38)-8+Data!S$3)</f>
        <v/>
      </c>
      <c r="AH61" t="str">
        <f>IF(I61="","",IF(Q61="",0,IF(Q61=0,0,IF(VLOOKUP(Engine!AF61,'Stats Calculator'!B$31:E$38,4,FALSE)="",0,IF(VLOOKUP(Engine!AF61,'Stats Calculator'!B$31:E$38,4,FALSE)=Q61,2,-2)))))</f>
        <v/>
      </c>
      <c r="AI61" t="str">
        <f>IF(I61="","",Data!S$3-COUNTA('Stats Calculator'!E$31:E$38))</f>
        <v/>
      </c>
      <c r="AJ61" t="str">
        <f>IF(I61="","",IF(AF61=0,0,IF(VLOOKUP(AF61,'Stats Calculator'!B$31:E$38,4,FALSE)&gt;0,0,2)))</f>
        <v/>
      </c>
      <c r="AK61" t="str">
        <f>IF(I61="","",IF(Data!S$3-Engine!AI61=AG61,2,0))</f>
        <v/>
      </c>
      <c r="AL61" t="str">
        <f t="shared" si="14"/>
        <v/>
      </c>
    </row>
    <row r="62" spans="1:38" x14ac:dyDescent="0.35">
      <c r="A62">
        <v>61</v>
      </c>
      <c r="B62" t="str">
        <f t="shared" si="16"/>
        <v/>
      </c>
      <c r="C62" s="111" t="str">
        <f t="shared" si="8"/>
        <v/>
      </c>
      <c r="D62" t="str">
        <f t="shared" si="17"/>
        <v/>
      </c>
      <c r="E62" s="3" t="str">
        <f t="shared" si="9"/>
        <v/>
      </c>
      <c r="F62" t="str">
        <f t="shared" si="10"/>
        <v/>
      </c>
      <c r="G62">
        <v>34</v>
      </c>
      <c r="H62" t="str">
        <f>Data!A62</f>
        <v>ZZZZZZ Suspend</v>
      </c>
      <c r="I62" s="2" t="str">
        <f>Data!C62</f>
        <v/>
      </c>
      <c r="J62" s="2" t="str">
        <f>Data!D62</f>
        <v/>
      </c>
      <c r="K62" s="2" t="str">
        <f>Data!E62</f>
        <v/>
      </c>
      <c r="L62" s="2" t="str">
        <f>IF(Data!$S$3&lt;Engine!L$1,0,Data!F62)</f>
        <v/>
      </c>
      <c r="M62" s="2" t="str">
        <f>IF(Data!$S$3&lt;Engine!M$1,0,Data!G62)</f>
        <v/>
      </c>
      <c r="N62" s="2" t="str">
        <f>IF(Data!$S$3&lt;Engine!N$1,0,Data!H62)</f>
        <v/>
      </c>
      <c r="O62" s="2" t="str">
        <f>IF(Data!$S$3&lt;Engine!O$1,0,Data!I62)</f>
        <v/>
      </c>
      <c r="P62" s="2" t="str">
        <f>IF(Data!$S$3&lt;Engine!P$1,0,Data!J62)</f>
        <v/>
      </c>
      <c r="Q62" s="11" t="str">
        <f>IF(Data!B62=1,Data!K62,"No Tips")</f>
        <v>No Tips</v>
      </c>
      <c r="R62" s="2" t="str">
        <f>Data!L62</f>
        <v/>
      </c>
      <c r="S62" s="2" t="str">
        <f>Data!M62</f>
        <v/>
      </c>
      <c r="T62" s="1" t="str">
        <f>IF(I62="","",COUNTIF('Live Ladder'!P:P,I62)+COUNTIF('Live Ladder'!P:P,J62)+COUNTIF('Live Ladder'!P:P,K62)+COUNTIF('Live Ladder'!P:P,L62)+COUNTIF('Live Ladder'!P:P,M62)+COUNTIF('Live Ladder'!P:P,N62)+COUNTIF('Live Ladder'!P:P,O62)+COUNTIF('Live Ladder'!P:P,P62))</f>
        <v/>
      </c>
      <c r="U62" s="1" t="str">
        <f>IF(I62="","",IF(COUNTIF('Live Ladder'!P:P,Engine!Q62)=1,2,IF(COUNTIF('Live Ladder'!Q:Q,Engine!Q62)=1,-2,0)))</f>
        <v/>
      </c>
      <c r="V62" s="1" t="str">
        <f>IF(I62="","",IF(T62=Data!S$3,2,0))</f>
        <v/>
      </c>
      <c r="W62" s="1">
        <f t="shared" si="11"/>
        <v>-2</v>
      </c>
      <c r="X62" s="1">
        <f>IF(I62="",AE$2,IF(I62='Live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28</v>
      </c>
      <c r="Y62" t="str">
        <f t="shared" si="15"/>
        <v/>
      </c>
      <c r="Z62" t="str">
        <f t="shared" si="12"/>
        <v/>
      </c>
      <c r="AA62" s="111" t="str">
        <f t="shared" si="13"/>
        <v/>
      </c>
      <c r="AB62" t="str">
        <f t="shared" si="6"/>
        <v/>
      </c>
      <c r="AC62" t="str">
        <f>IF(I62="","",IF(I62='Live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
      </c>
      <c r="AF62" t="str">
        <f>IF(I62="","",IF(Q62="",0,IF(AND(Q62&gt;0,COUNTIF('Stats Calculator'!$T$24:$AA$24,Q62)=1),HLOOKUP(Q62,'Stats Calculator'!$T$24:$AA$27,4,FALSE),IF(AND(Q62&gt;0,COUNTIF('Stats Calculator'!$T$25:$AA$25,Q62)=1),HLOOKUP(Q62,'Stats Calculator'!$T$25:$AA$27,3,FALSE)))))</f>
        <v/>
      </c>
      <c r="AG62" t="str">
        <f>IF(I62="","",COUNTIF(I62,'Stats Calculator'!E$31)+COUNTIF(J62,'Stats Calculator'!E$32)+COUNTIF(K62,'Stats Calculator'!E$33)+COUNTIF(L62,'Stats Calculator'!E$34)+COUNTIF(M62,'Stats Calculator'!E$35)+COUNTIF(N62,'Stats Calculator'!E$36)+COUNTIF(O62,'Stats Calculator'!E$37)+COUNTIF(P62,'Stats Calculator'!E$38)-8+Data!S$3)</f>
        <v/>
      </c>
      <c r="AH62" t="str">
        <f>IF(I62="","",IF(Q62="",0,IF(Q62=0,0,IF(VLOOKUP(Engine!AF62,'Stats Calculator'!B$31:E$38,4,FALSE)="",0,IF(VLOOKUP(Engine!AF62,'Stats Calculator'!B$31:E$38,4,FALSE)=Q62,2,-2)))))</f>
        <v/>
      </c>
      <c r="AI62" t="str">
        <f>IF(I62="","",Data!S$3-COUNTA('Stats Calculator'!E$31:E$38))</f>
        <v/>
      </c>
      <c r="AJ62" t="str">
        <f>IF(I62="","",IF(AF62=0,0,IF(VLOOKUP(AF62,'Stats Calculator'!B$31:E$38,4,FALSE)&gt;0,0,2)))</f>
        <v/>
      </c>
      <c r="AK62" t="str">
        <f>IF(I62="","",IF(Data!S$3-Engine!AI62=AG62,2,0))</f>
        <v/>
      </c>
      <c r="AL62" t="str">
        <f t="shared" si="14"/>
        <v/>
      </c>
    </row>
    <row r="63" spans="1:38" x14ac:dyDescent="0.35">
      <c r="A63">
        <v>62</v>
      </c>
      <c r="B63" t="str">
        <f t="shared" si="16"/>
        <v/>
      </c>
      <c r="C63" s="111" t="str">
        <f t="shared" si="8"/>
        <v/>
      </c>
      <c r="D63" t="str">
        <f t="shared" si="17"/>
        <v/>
      </c>
      <c r="E63" s="3" t="str">
        <f t="shared" si="9"/>
        <v/>
      </c>
      <c r="F63" t="str">
        <f t="shared" si="10"/>
        <v/>
      </c>
      <c r="G63">
        <v>33</v>
      </c>
      <c r="H63" t="str">
        <f>Data!A63</f>
        <v>ZZZZZZ Suspend</v>
      </c>
      <c r="I63" s="2" t="str">
        <f>Data!C63</f>
        <v/>
      </c>
      <c r="J63" s="2" t="str">
        <f>Data!D63</f>
        <v/>
      </c>
      <c r="K63" s="2" t="str">
        <f>Data!E63</f>
        <v/>
      </c>
      <c r="L63" s="2" t="str">
        <f>IF(Data!$S$3&lt;Engine!L$1,0,Data!F63)</f>
        <v/>
      </c>
      <c r="M63" s="2" t="str">
        <f>IF(Data!$S$3&lt;Engine!M$1,0,Data!G63)</f>
        <v/>
      </c>
      <c r="N63" s="2" t="str">
        <f>IF(Data!$S$3&lt;Engine!N$1,0,Data!H63)</f>
        <v/>
      </c>
      <c r="O63" s="2" t="str">
        <f>IF(Data!$S$3&lt;Engine!O$1,0,Data!I63)</f>
        <v/>
      </c>
      <c r="P63" s="2" t="str">
        <f>IF(Data!$S$3&lt;Engine!P$1,0,Data!J63)</f>
        <v/>
      </c>
      <c r="Q63" s="11" t="str">
        <f>IF(Data!B63=1,Data!K63,"No Tips")</f>
        <v>No Tips</v>
      </c>
      <c r="R63" s="2" t="str">
        <f>Data!L63</f>
        <v/>
      </c>
      <c r="S63" s="2" t="str">
        <f>Data!M63</f>
        <v/>
      </c>
      <c r="T63" s="1" t="str">
        <f>IF(I63="","",COUNTIF('Live Ladder'!P:P,I63)+COUNTIF('Live Ladder'!P:P,J63)+COUNTIF('Live Ladder'!P:P,K63)+COUNTIF('Live Ladder'!P:P,L63)+COUNTIF('Live Ladder'!P:P,M63)+COUNTIF('Live Ladder'!P:P,N63)+COUNTIF('Live Ladder'!P:P,O63)+COUNTIF('Live Ladder'!P:P,P63))</f>
        <v/>
      </c>
      <c r="U63" s="1" t="str">
        <f>IF(I63="","",IF(COUNTIF('Live Ladder'!P:P,Engine!Q63)=1,2,IF(COUNTIF('Live Ladder'!Q:Q,Engine!Q63)=1,-2,0)))</f>
        <v/>
      </c>
      <c r="V63" s="1" t="str">
        <f>IF(I63="","",IF(T63=Data!S$3,2,0))</f>
        <v/>
      </c>
      <c r="W63" s="1">
        <f t="shared" si="11"/>
        <v>-2</v>
      </c>
      <c r="X63" s="1">
        <f>IF(I63="",AE$2,IF(I63='Live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28</v>
      </c>
      <c r="Y63" t="str">
        <f t="shared" si="15"/>
        <v/>
      </c>
      <c r="Z63" t="str">
        <f t="shared" si="12"/>
        <v/>
      </c>
      <c r="AA63" s="111" t="str">
        <f t="shared" si="13"/>
        <v/>
      </c>
      <c r="AB63" t="str">
        <f t="shared" si="6"/>
        <v/>
      </c>
      <c r="AC63" t="str">
        <f>IF(I63="","",IF(I63='Live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
      </c>
      <c r="AF63" t="str">
        <f>IF(I63="","",IF(Q63="",0,IF(AND(Q63&gt;0,COUNTIF('Stats Calculator'!$T$24:$AA$24,Q63)=1),HLOOKUP(Q63,'Stats Calculator'!$T$24:$AA$27,4,FALSE),IF(AND(Q63&gt;0,COUNTIF('Stats Calculator'!$T$25:$AA$25,Q63)=1),HLOOKUP(Q63,'Stats Calculator'!$T$25:$AA$27,3,FALSE)))))</f>
        <v/>
      </c>
      <c r="AG63" t="str">
        <f>IF(I63="","",COUNTIF(I63,'Stats Calculator'!E$31)+COUNTIF(J63,'Stats Calculator'!E$32)+COUNTIF(K63,'Stats Calculator'!E$33)+COUNTIF(L63,'Stats Calculator'!E$34)+COUNTIF(M63,'Stats Calculator'!E$35)+COUNTIF(N63,'Stats Calculator'!E$36)+COUNTIF(O63,'Stats Calculator'!E$37)+COUNTIF(P63,'Stats Calculator'!E$38)-8+Data!S$3)</f>
        <v/>
      </c>
      <c r="AH63" t="str">
        <f>IF(I63="","",IF(Q63="",0,IF(Q63=0,0,IF(VLOOKUP(Engine!AF63,'Stats Calculator'!B$31:E$38,4,FALSE)="",0,IF(VLOOKUP(Engine!AF63,'Stats Calculator'!B$31:E$38,4,FALSE)=Q63,2,-2)))))</f>
        <v/>
      </c>
      <c r="AI63" t="str">
        <f>IF(I63="","",Data!S$3-COUNTA('Stats Calculator'!E$31:E$38))</f>
        <v/>
      </c>
      <c r="AJ63" t="str">
        <f>IF(I63="","",IF(AF63=0,0,IF(VLOOKUP(AF63,'Stats Calculator'!B$31:E$38,4,FALSE)&gt;0,0,2)))</f>
        <v/>
      </c>
      <c r="AK63" t="str">
        <f>IF(I63="","",IF(Data!S$3-Engine!AI63=AG63,2,0))</f>
        <v/>
      </c>
      <c r="AL63" t="str">
        <f t="shared" si="14"/>
        <v/>
      </c>
    </row>
    <row r="64" spans="1:38" x14ac:dyDescent="0.35">
      <c r="A64">
        <v>63</v>
      </c>
      <c r="B64" t="str">
        <f t="shared" si="16"/>
        <v/>
      </c>
      <c r="C64" s="111" t="str">
        <f t="shared" si="8"/>
        <v/>
      </c>
      <c r="D64" t="str">
        <f t="shared" si="17"/>
        <v/>
      </c>
      <c r="E64" s="3" t="str">
        <f t="shared" si="9"/>
        <v/>
      </c>
      <c r="F64" t="str">
        <f t="shared" si="10"/>
        <v/>
      </c>
      <c r="G64">
        <v>32</v>
      </c>
      <c r="H64" t="str">
        <f>Data!A64</f>
        <v>ZZZZZZ Suspend</v>
      </c>
      <c r="I64" s="2" t="str">
        <f>Data!C64</f>
        <v/>
      </c>
      <c r="J64" s="2" t="str">
        <f>Data!D64</f>
        <v/>
      </c>
      <c r="K64" s="2" t="str">
        <f>Data!E64</f>
        <v/>
      </c>
      <c r="L64" s="2" t="str">
        <f>IF(Data!$S$3&lt;Engine!L$1,0,Data!F64)</f>
        <v/>
      </c>
      <c r="M64" s="2" t="str">
        <f>IF(Data!$S$3&lt;Engine!M$1,0,Data!G64)</f>
        <v/>
      </c>
      <c r="N64" s="2" t="str">
        <f>IF(Data!$S$3&lt;Engine!N$1,0,Data!H64)</f>
        <v/>
      </c>
      <c r="O64" s="2" t="str">
        <f>IF(Data!$S$3&lt;Engine!O$1,0,Data!I64)</f>
        <v/>
      </c>
      <c r="P64" s="2" t="str">
        <f>IF(Data!$S$3&lt;Engine!P$1,0,Data!J64)</f>
        <v/>
      </c>
      <c r="Q64" s="11" t="str">
        <f>IF(Data!B64=1,Data!K64,"No Tips")</f>
        <v>No Tips</v>
      </c>
      <c r="R64" s="2" t="str">
        <f>Data!L64</f>
        <v/>
      </c>
      <c r="S64" s="2" t="str">
        <f>Data!M64</f>
        <v/>
      </c>
      <c r="T64" s="1" t="str">
        <f>IF(I64="","",COUNTIF('Live Ladder'!P:P,I64)+COUNTIF('Live Ladder'!P:P,J64)+COUNTIF('Live Ladder'!P:P,K64)+COUNTIF('Live Ladder'!P:P,L64)+COUNTIF('Live Ladder'!P:P,M64)+COUNTIF('Live Ladder'!P:P,N64)+COUNTIF('Live Ladder'!P:P,O64)+COUNTIF('Live Ladder'!P:P,P64))</f>
        <v/>
      </c>
      <c r="U64" s="1" t="str">
        <f>IF(I64="","",IF(COUNTIF('Live Ladder'!P:P,Engine!Q64)=1,2,IF(COUNTIF('Live Ladder'!Q:Q,Engine!Q64)=1,-2,0)))</f>
        <v/>
      </c>
      <c r="V64" s="1" t="str">
        <f>IF(I64="","",IF(T64=Data!S$3,2,0))</f>
        <v/>
      </c>
      <c r="W64" s="1">
        <f t="shared" si="11"/>
        <v>-2</v>
      </c>
      <c r="X64" s="1">
        <f>IF(I64="",AE$2,IF(I64='Live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28</v>
      </c>
      <c r="Y64" t="str">
        <f t="shared" si="15"/>
        <v/>
      </c>
      <c r="Z64" t="str">
        <f t="shared" si="12"/>
        <v/>
      </c>
      <c r="AA64" s="111" t="str">
        <f t="shared" si="13"/>
        <v/>
      </c>
      <c r="AB64" t="str">
        <f t="shared" si="6"/>
        <v/>
      </c>
      <c r="AC64" t="str">
        <f>IF(I64="","",IF(I64='Live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
      </c>
      <c r="AF64" t="str">
        <f>IF(I64="","",IF(Q64="",0,IF(AND(Q64&gt;0,COUNTIF('Stats Calculator'!$T$24:$AA$24,Q64)=1),HLOOKUP(Q64,'Stats Calculator'!$T$24:$AA$27,4,FALSE),IF(AND(Q64&gt;0,COUNTIF('Stats Calculator'!$T$25:$AA$25,Q64)=1),HLOOKUP(Q64,'Stats Calculator'!$T$25:$AA$27,3,FALSE)))))</f>
        <v/>
      </c>
      <c r="AG64" t="str">
        <f>IF(I64="","",COUNTIF(I64,'Stats Calculator'!E$31)+COUNTIF(J64,'Stats Calculator'!E$32)+COUNTIF(K64,'Stats Calculator'!E$33)+COUNTIF(L64,'Stats Calculator'!E$34)+COUNTIF(M64,'Stats Calculator'!E$35)+COUNTIF(N64,'Stats Calculator'!E$36)+COUNTIF(O64,'Stats Calculator'!E$37)+COUNTIF(P64,'Stats Calculator'!E$38)-8+Data!S$3)</f>
        <v/>
      </c>
      <c r="AH64" t="str">
        <f>IF(I64="","",IF(Q64="",0,IF(Q64=0,0,IF(VLOOKUP(Engine!AF64,'Stats Calculator'!B$31:E$38,4,FALSE)="",0,IF(VLOOKUP(Engine!AF64,'Stats Calculator'!B$31:E$38,4,FALSE)=Q64,2,-2)))))</f>
        <v/>
      </c>
      <c r="AI64" t="str">
        <f>IF(I64="","",Data!S$3-COUNTA('Stats Calculator'!E$31:E$38))</f>
        <v/>
      </c>
      <c r="AJ64" t="str">
        <f>IF(I64="","",IF(AF64=0,0,IF(VLOOKUP(AF64,'Stats Calculator'!B$31:E$38,4,FALSE)&gt;0,0,2)))</f>
        <v/>
      </c>
      <c r="AK64" t="str">
        <f>IF(I64="","",IF(Data!S$3-Engine!AI64=AG64,2,0))</f>
        <v/>
      </c>
      <c r="AL64" t="str">
        <f t="shared" si="14"/>
        <v/>
      </c>
    </row>
    <row r="65" spans="1:38" s="10" customFormat="1" x14ac:dyDescent="0.35">
      <c r="A65">
        <v>64</v>
      </c>
      <c r="B65" t="str">
        <f t="shared" si="16"/>
        <v/>
      </c>
      <c r="C65" s="111" t="str">
        <f t="shared" si="8"/>
        <v/>
      </c>
      <c r="D65" t="str">
        <f t="shared" si="17"/>
        <v/>
      </c>
      <c r="E65" s="3" t="str">
        <f t="shared" si="9"/>
        <v/>
      </c>
      <c r="F65" t="str">
        <f t="shared" si="10"/>
        <v/>
      </c>
      <c r="G65">
        <v>31</v>
      </c>
      <c r="H65" t="str">
        <f>Data!A65</f>
        <v>ZZZZZZ Suspend</v>
      </c>
      <c r="I65" s="2" t="str">
        <f>Data!C65</f>
        <v/>
      </c>
      <c r="J65" s="2" t="str">
        <f>Data!D65</f>
        <v/>
      </c>
      <c r="K65" s="2" t="str">
        <f>Data!E65</f>
        <v/>
      </c>
      <c r="L65" s="2" t="str">
        <f>IF(Data!$S$3&lt;Engine!L$1,0,Data!F65)</f>
        <v/>
      </c>
      <c r="M65" s="2" t="str">
        <f>IF(Data!$S$3&lt;Engine!M$1,0,Data!G65)</f>
        <v/>
      </c>
      <c r="N65" s="2" t="str">
        <f>IF(Data!$S$3&lt;Engine!N$1,0,Data!H65)</f>
        <v/>
      </c>
      <c r="O65" s="2" t="str">
        <f>IF(Data!$S$3&lt;Engine!O$1,0,Data!I65)</f>
        <v/>
      </c>
      <c r="P65" s="2" t="str">
        <f>IF(Data!$S$3&lt;Engine!P$1,0,Data!J65)</f>
        <v/>
      </c>
      <c r="Q65" s="11" t="str">
        <f>IF(Data!B65=1,Data!K65,"No Tips")</f>
        <v>No Tips</v>
      </c>
      <c r="R65" s="2" t="str">
        <f>Data!L65</f>
        <v/>
      </c>
      <c r="S65" s="2" t="str">
        <f>Data!M65</f>
        <v/>
      </c>
      <c r="T65" s="1" t="str">
        <f>IF(I65="","",COUNTIF('Live Ladder'!P:P,I65)+COUNTIF('Live Ladder'!P:P,J65)+COUNTIF('Live Ladder'!P:P,K65)+COUNTIF('Live Ladder'!P:P,L65)+COUNTIF('Live Ladder'!P:P,M65)+COUNTIF('Live Ladder'!P:P,N65)+COUNTIF('Live Ladder'!P:P,O65)+COUNTIF('Live Ladder'!P:P,P65))</f>
        <v/>
      </c>
      <c r="U65" s="1" t="str">
        <f>IF(I65="","",IF(COUNTIF('Live Ladder'!P:P,Engine!Q65)=1,2,IF(COUNTIF('Live Ladder'!Q:Q,Engine!Q65)=1,-2,0)))</f>
        <v/>
      </c>
      <c r="V65" s="1" t="str">
        <f>IF(I65="","",IF(T65=Data!S$3,2,0))</f>
        <v/>
      </c>
      <c r="W65" s="1">
        <f t="shared" si="11"/>
        <v>-2</v>
      </c>
      <c r="X65" s="1">
        <f>IF(I65="",AE$2,IF(I65='Live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28</v>
      </c>
      <c r="Y65" t="str">
        <f t="shared" si="15"/>
        <v/>
      </c>
      <c r="Z65" t="str">
        <f t="shared" si="12"/>
        <v/>
      </c>
      <c r="AA65" s="111" t="str">
        <f t="shared" si="13"/>
        <v/>
      </c>
      <c r="AB65" t="str">
        <f t="shared" si="6"/>
        <v/>
      </c>
      <c r="AC65" t="str">
        <f>IF(I65="","",IF(I65='Live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
      </c>
      <c r="AD65"/>
      <c r="AE65"/>
      <c r="AF65" t="str">
        <f>IF(I65="","",IF(Q65="",0,IF(AND(Q65&gt;0,COUNTIF('Stats Calculator'!$T$24:$AA$24,Q65)=1),HLOOKUP(Q65,'Stats Calculator'!$T$24:$AA$27,4,FALSE),IF(AND(Q65&gt;0,COUNTIF('Stats Calculator'!$T$25:$AA$25,Q65)=1),HLOOKUP(Q65,'Stats Calculator'!$T$25:$AA$27,3,FALSE)))))</f>
        <v/>
      </c>
      <c r="AG65" t="str">
        <f>IF(I65="","",COUNTIF(I65,'Stats Calculator'!E$31)+COUNTIF(J65,'Stats Calculator'!E$32)+COUNTIF(K65,'Stats Calculator'!E$33)+COUNTIF(L65,'Stats Calculator'!E$34)+COUNTIF(M65,'Stats Calculator'!E$35)+COUNTIF(N65,'Stats Calculator'!E$36)+COUNTIF(O65,'Stats Calculator'!E$37)+COUNTIF(P65,'Stats Calculator'!E$38)-8+Data!S$3)</f>
        <v/>
      </c>
      <c r="AH65" t="str">
        <f>IF(I65="","",IF(Q65="",0,IF(Q65=0,0,IF(VLOOKUP(Engine!AF65,'Stats Calculator'!B$31:E$38,4,FALSE)="",0,IF(VLOOKUP(Engine!AF65,'Stats Calculator'!B$31:E$38,4,FALSE)=Q65,2,-2)))))</f>
        <v/>
      </c>
      <c r="AI65" t="str">
        <f>IF(I65="","",Data!S$3-COUNTA('Stats Calculator'!E$31:E$38))</f>
        <v/>
      </c>
      <c r="AJ65" t="str">
        <f>IF(I65="","",IF(AF65=0,0,IF(VLOOKUP(AF65,'Stats Calculator'!B$31:E$38,4,FALSE)&gt;0,0,2)))</f>
        <v/>
      </c>
      <c r="AK65" t="str">
        <f>IF(I65="","",IF(Data!S$3-Engine!AI65=AG65,2,0))</f>
        <v/>
      </c>
      <c r="AL65" t="str">
        <f t="shared" si="14"/>
        <v/>
      </c>
    </row>
    <row r="66" spans="1:38" x14ac:dyDescent="0.35">
      <c r="A66">
        <v>65</v>
      </c>
      <c r="B66" t="str">
        <f t="shared" ref="B66:B94" si="18">IF(H66="ZZZZZZ Suspend","",RANK(C66,C:C))</f>
        <v/>
      </c>
      <c r="C66" s="111" t="str">
        <f t="shared" si="8"/>
        <v/>
      </c>
      <c r="D66" t="str">
        <f t="shared" ref="D66:D94" si="19">IF(H66="ZZZZZZ Suspend","",RANK(AA66,AA:AA))</f>
        <v/>
      </c>
      <c r="E66" s="3" t="str">
        <f t="shared" si="9"/>
        <v/>
      </c>
      <c r="F66" t="str">
        <f t="shared" si="10"/>
        <v/>
      </c>
      <c r="G66">
        <v>30</v>
      </c>
      <c r="H66" t="str">
        <f>Data!A66</f>
        <v>ZZZZZZ Suspend</v>
      </c>
      <c r="I66" s="2" t="str">
        <f>Data!C66</f>
        <v/>
      </c>
      <c r="J66" s="2" t="str">
        <f>Data!D66</f>
        <v/>
      </c>
      <c r="K66" s="2" t="str">
        <f>Data!E66</f>
        <v/>
      </c>
      <c r="L66" s="2" t="str">
        <f>IF(Data!$S$3&lt;Engine!L$1,0,Data!F66)</f>
        <v/>
      </c>
      <c r="M66" s="2" t="str">
        <f>IF(Data!$S$3&lt;Engine!M$1,0,Data!G66)</f>
        <v/>
      </c>
      <c r="N66" s="2" t="str">
        <f>IF(Data!$S$3&lt;Engine!N$1,0,Data!H66)</f>
        <v/>
      </c>
      <c r="O66" s="2" t="str">
        <f>IF(Data!$S$3&lt;Engine!O$1,0,Data!I66)</f>
        <v/>
      </c>
      <c r="P66" s="2" t="str">
        <f>IF(Data!$S$3&lt;Engine!P$1,0,Data!J66)</f>
        <v/>
      </c>
      <c r="Q66" s="11" t="str">
        <f>IF(Data!B66=1,Data!K66,"No Tips")</f>
        <v>No Tips</v>
      </c>
      <c r="R66" s="2" t="str">
        <f>Data!L66</f>
        <v/>
      </c>
      <c r="S66" s="2" t="str">
        <f>Data!M66</f>
        <v/>
      </c>
      <c r="T66" s="1" t="str">
        <f>IF(I66="","",COUNTIF('Live Ladder'!P:P,I66)+COUNTIF('Live Ladder'!P:P,J66)+COUNTIF('Live Ladder'!P:P,K66)+COUNTIF('Live Ladder'!P:P,L66)+COUNTIF('Live Ladder'!P:P,M66)+COUNTIF('Live Ladder'!P:P,N66)+COUNTIF('Live Ladder'!P:P,O66)+COUNTIF('Live Ladder'!P:P,P66))</f>
        <v/>
      </c>
      <c r="U66" s="1" t="str">
        <f>IF(I66="","",IF(COUNTIF('Live Ladder'!P:P,Engine!Q66)=1,2,IF(COUNTIF('Live Ladder'!Q:Q,Engine!Q66)=1,-2,0)))</f>
        <v/>
      </c>
      <c r="V66" s="1" t="str">
        <f>IF(I66="","",IF(T66=Data!S$3,2,0))</f>
        <v/>
      </c>
      <c r="W66" s="1">
        <f t="shared" si="11"/>
        <v>-2</v>
      </c>
      <c r="X66" s="1">
        <f>IF(I66="",AE$2,IF(I66='Live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28</v>
      </c>
      <c r="Y66" t="str">
        <f t="shared" si="15"/>
        <v/>
      </c>
      <c r="Z66" t="str">
        <f t="shared" si="12"/>
        <v/>
      </c>
      <c r="AA66" s="111" t="str">
        <f t="shared" si="13"/>
        <v/>
      </c>
      <c r="AB66" t="str">
        <f t="shared" ref="AB66:AB94" si="20">IF(Q66="No Tips","",SUM(T66:V66))</f>
        <v/>
      </c>
      <c r="AC66" t="str">
        <f>IF(I66="","",IF(I66='Live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
      </c>
      <c r="AF66" t="str">
        <f>IF(I66="","",IF(Q66="",0,IF(AND(Q66&gt;0,COUNTIF('Stats Calculator'!$T$24:$AA$24,Q66)=1),HLOOKUP(Q66,'Stats Calculator'!$T$24:$AA$27,4,FALSE),IF(AND(Q66&gt;0,COUNTIF('Stats Calculator'!$T$25:$AA$25,Q66)=1),HLOOKUP(Q66,'Stats Calculator'!$T$25:$AA$27,3,FALSE)))))</f>
        <v/>
      </c>
      <c r="AG66" t="str">
        <f>IF(I66="","",COUNTIF(I66,'Stats Calculator'!E$31)+COUNTIF(J66,'Stats Calculator'!E$32)+COUNTIF(K66,'Stats Calculator'!E$33)+COUNTIF(L66,'Stats Calculator'!E$34)+COUNTIF(M66,'Stats Calculator'!E$35)+COUNTIF(N66,'Stats Calculator'!E$36)+COUNTIF(O66,'Stats Calculator'!E$37)+COUNTIF(P66,'Stats Calculator'!E$38)-8+Data!S$3)</f>
        <v/>
      </c>
      <c r="AH66" t="str">
        <f>IF(I66="","",IF(Q66="",0,IF(Q66=0,0,IF(VLOOKUP(Engine!AF66,'Stats Calculator'!B$31:E$38,4,FALSE)="",0,IF(VLOOKUP(Engine!AF66,'Stats Calculator'!B$31:E$38,4,FALSE)=Q66,2,-2)))))</f>
        <v/>
      </c>
      <c r="AI66" t="str">
        <f>IF(I66="","",Data!S$3-COUNTA('Stats Calculator'!E$31:E$38))</f>
        <v/>
      </c>
      <c r="AJ66" t="str">
        <f>IF(I66="","",IF(AF66=0,0,IF(VLOOKUP(AF66,'Stats Calculator'!B$31:E$38,4,FALSE)&gt;0,0,2)))</f>
        <v/>
      </c>
      <c r="AK66" t="str">
        <f>IF(I66="","",IF(Data!S$3-Engine!AI66=AG66,2,0))</f>
        <v/>
      </c>
      <c r="AL66" t="str">
        <f t="shared" si="14"/>
        <v/>
      </c>
    </row>
    <row r="67" spans="1:38" x14ac:dyDescent="0.35">
      <c r="A67">
        <v>66</v>
      </c>
      <c r="B67" t="str">
        <f t="shared" si="18"/>
        <v/>
      </c>
      <c r="C67" s="111" t="str">
        <f t="shared" ref="C67:C95" si="21">IF(H67="ZZZZZZ Suspend","",R67+(S67/100000)+(G67/1000000000))</f>
        <v/>
      </c>
      <c r="D67" t="str">
        <f t="shared" si="19"/>
        <v/>
      </c>
      <c r="E67" s="3" t="str">
        <f t="shared" ref="E67:E85" si="22">IF(H67="ZZZZZZ Suspend","",IF(D67&lt;B67,AD$3,IF(D67&gt;B67,AD$4,AD$5)))</f>
        <v/>
      </c>
      <c r="F67" t="str">
        <f t="shared" ref="F67:F85" si="23">IF(H67="ZZZZZZ Suspend","",IF(D67&gt;B67,D67-B67,IF(D67&lt;B67,B67-D67,"")))</f>
        <v/>
      </c>
      <c r="G67">
        <v>29</v>
      </c>
      <c r="H67" t="str">
        <f>Data!A67</f>
        <v>ZZZZZZ Suspend</v>
      </c>
      <c r="I67" s="2" t="str">
        <f>Data!C67</f>
        <v/>
      </c>
      <c r="J67" s="2" t="str">
        <f>Data!D67</f>
        <v/>
      </c>
      <c r="K67" s="2" t="str">
        <f>Data!E67</f>
        <v/>
      </c>
      <c r="L67" s="2" t="str">
        <f>IF(Data!$S$3&lt;Engine!L$1,0,Data!F67)</f>
        <v/>
      </c>
      <c r="M67" s="2" t="str">
        <f>IF(Data!$S$3&lt;Engine!M$1,0,Data!G67)</f>
        <v/>
      </c>
      <c r="N67" s="2" t="str">
        <f>IF(Data!$S$3&lt;Engine!N$1,0,Data!H67)</f>
        <v/>
      </c>
      <c r="O67" s="2" t="str">
        <f>IF(Data!$S$3&lt;Engine!O$1,0,Data!I67)</f>
        <v/>
      </c>
      <c r="P67" s="2" t="str">
        <f>IF(Data!$S$3&lt;Engine!P$1,0,Data!J67)</f>
        <v/>
      </c>
      <c r="Q67" s="11" t="str">
        <f>IF(Data!B67=1,Data!K67,"No Tips")</f>
        <v>No Tips</v>
      </c>
      <c r="R67" s="2" t="str">
        <f>Data!L67</f>
        <v/>
      </c>
      <c r="S67" s="2" t="str">
        <f>Data!M67</f>
        <v/>
      </c>
      <c r="T67" s="1" t="str">
        <f>IF(I67="","",COUNTIF('Live Ladder'!P:P,I67)+COUNTIF('Live Ladder'!P:P,J67)+COUNTIF('Live Ladder'!P:P,K67)+COUNTIF('Live Ladder'!P:P,L67)+COUNTIF('Live Ladder'!P:P,M67)+COUNTIF('Live Ladder'!P:P,N67)+COUNTIF('Live Ladder'!P:P,O67)+COUNTIF('Live Ladder'!P:P,P67))</f>
        <v/>
      </c>
      <c r="U67" s="1" t="str">
        <f>IF(I67="","",IF(COUNTIF('Live Ladder'!P:P,Engine!Q67)=1,2,IF(COUNTIF('Live Ladder'!Q:Q,Engine!Q67)=1,-2,0)))</f>
        <v/>
      </c>
      <c r="V67" s="1" t="str">
        <f>IF(I67="","",IF(T67=Data!S$3,2,0))</f>
        <v/>
      </c>
      <c r="W67" s="1">
        <f t="shared" ref="W67:W85" si="24">IF(I67="",AD$2,SUM(T67:V67))</f>
        <v>-2</v>
      </c>
      <c r="X67" s="1">
        <f>IF(I67="",AE$2,IF(I67='Live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28</v>
      </c>
      <c r="Y67" t="str">
        <f t="shared" si="15"/>
        <v/>
      </c>
      <c r="Z67" t="str">
        <f t="shared" ref="Z67:Z85" si="25">IF(H67="ZZZZZZ Suspend","",S67+X67)</f>
        <v/>
      </c>
      <c r="AA67" s="111" t="str">
        <f t="shared" ref="AA67:AA95" si="26">IF(H67="ZZZZZZ Suspend","",Y67+(Z67/100000)+(G67/1000000000))</f>
        <v/>
      </c>
      <c r="AB67" t="str">
        <f t="shared" si="20"/>
        <v/>
      </c>
      <c r="AC67" t="str">
        <f>IF(I67="","",IF(I67='Live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
      </c>
      <c r="AF67" t="str">
        <f>IF(I67="","",IF(Q67="",0,IF(AND(Q67&gt;0,COUNTIF('Stats Calculator'!$T$24:$AA$24,Q67)=1),HLOOKUP(Q67,'Stats Calculator'!$T$24:$AA$27,4,FALSE),IF(AND(Q67&gt;0,COUNTIF('Stats Calculator'!$T$25:$AA$25,Q67)=1),HLOOKUP(Q67,'Stats Calculator'!$T$25:$AA$27,3,FALSE)))))</f>
        <v/>
      </c>
      <c r="AG67" t="str">
        <f>IF(I67="","",COUNTIF(I67,'Stats Calculator'!E$31)+COUNTIF(J67,'Stats Calculator'!E$32)+COUNTIF(K67,'Stats Calculator'!E$33)+COUNTIF(L67,'Stats Calculator'!E$34)+COUNTIF(M67,'Stats Calculator'!E$35)+COUNTIF(N67,'Stats Calculator'!E$36)+COUNTIF(O67,'Stats Calculator'!E$37)+COUNTIF(P67,'Stats Calculator'!E$38)-8+Data!S$3)</f>
        <v/>
      </c>
      <c r="AH67" t="str">
        <f>IF(I67="","",IF(Q67="",0,IF(Q67=0,0,IF(VLOOKUP(Engine!AF67,'Stats Calculator'!B$31:E$38,4,FALSE)="",0,IF(VLOOKUP(Engine!AF67,'Stats Calculator'!B$31:E$38,4,FALSE)=Q67,2,-2)))))</f>
        <v/>
      </c>
      <c r="AI67" t="str">
        <f>IF(I67="","",Data!S$3-COUNTA('Stats Calculator'!E$31:E$38))</f>
        <v/>
      </c>
      <c r="AJ67" t="str">
        <f>IF(I67="","",IF(AF67=0,0,IF(VLOOKUP(AF67,'Stats Calculator'!B$31:E$38,4,FALSE)&gt;0,0,2)))</f>
        <v/>
      </c>
      <c r="AK67" t="str">
        <f>IF(I67="","",IF(Data!S$3-Engine!AI67=AG67,2,0))</f>
        <v/>
      </c>
      <c r="AL67" t="str">
        <f t="shared" ref="AL67:AL85" si="27">IF(I67="","",SUM(AG67:AK67))</f>
        <v/>
      </c>
    </row>
    <row r="68" spans="1:38" x14ac:dyDescent="0.35">
      <c r="A68">
        <v>67</v>
      </c>
      <c r="B68" t="str">
        <f t="shared" si="18"/>
        <v/>
      </c>
      <c r="C68" s="111" t="str">
        <f t="shared" si="21"/>
        <v/>
      </c>
      <c r="D68" t="str">
        <f t="shared" si="19"/>
        <v/>
      </c>
      <c r="E68" s="3" t="str">
        <f t="shared" si="22"/>
        <v/>
      </c>
      <c r="F68" t="str">
        <f t="shared" si="23"/>
        <v/>
      </c>
      <c r="G68">
        <v>28</v>
      </c>
      <c r="H68" t="str">
        <f>Data!A68</f>
        <v>ZZZZZZ Suspend</v>
      </c>
      <c r="I68" s="2" t="str">
        <f>Data!C68</f>
        <v/>
      </c>
      <c r="J68" s="2" t="str">
        <f>Data!D68</f>
        <v/>
      </c>
      <c r="K68" s="2" t="str">
        <f>Data!E68</f>
        <v/>
      </c>
      <c r="L68" s="2" t="str">
        <f>IF(Data!$S$3&lt;Engine!L$1,0,Data!F68)</f>
        <v/>
      </c>
      <c r="M68" s="2" t="str">
        <f>IF(Data!$S$3&lt;Engine!M$1,0,Data!G68)</f>
        <v/>
      </c>
      <c r="N68" s="2" t="str">
        <f>IF(Data!$S$3&lt;Engine!N$1,0,Data!H68)</f>
        <v/>
      </c>
      <c r="O68" s="2" t="str">
        <f>IF(Data!$S$3&lt;Engine!O$1,0,Data!I68)</f>
        <v/>
      </c>
      <c r="P68" s="2" t="str">
        <f>IF(Data!$S$3&lt;Engine!P$1,0,Data!J68)</f>
        <v/>
      </c>
      <c r="Q68" s="11" t="str">
        <f>IF(Data!B68=1,Data!K68,"No Tips")</f>
        <v>No Tips</v>
      </c>
      <c r="R68" s="2" t="str">
        <f>Data!L68</f>
        <v/>
      </c>
      <c r="S68" s="2" t="str">
        <f>Data!M68</f>
        <v/>
      </c>
      <c r="T68" s="1" t="str">
        <f>IF(I68="","",COUNTIF('Live Ladder'!P:P,I68)+COUNTIF('Live Ladder'!P:P,J68)+COUNTIF('Live Ladder'!P:P,K68)+COUNTIF('Live Ladder'!P:P,L68)+COUNTIF('Live Ladder'!P:P,M68)+COUNTIF('Live Ladder'!P:P,N68)+COUNTIF('Live Ladder'!P:P,O68)+COUNTIF('Live Ladder'!P:P,P68))</f>
        <v/>
      </c>
      <c r="U68" s="1" t="str">
        <f>IF(I68="","",IF(COUNTIF('Live Ladder'!P:P,Engine!Q68)=1,2,IF(COUNTIF('Live Ladder'!Q:Q,Engine!Q68)=1,-2,0)))</f>
        <v/>
      </c>
      <c r="V68" s="1" t="str">
        <f>IF(I68="","",IF(T68=Data!S$3,2,0))</f>
        <v/>
      </c>
      <c r="W68" s="1">
        <f t="shared" si="24"/>
        <v>-2</v>
      </c>
      <c r="X68" s="1">
        <f>IF(I68="",AE$2,IF(I68='Live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28</v>
      </c>
      <c r="Y68" t="str">
        <f t="shared" si="15"/>
        <v/>
      </c>
      <c r="Z68" t="str">
        <f t="shared" si="25"/>
        <v/>
      </c>
      <c r="AA68" s="111" t="str">
        <f t="shared" si="26"/>
        <v/>
      </c>
      <c r="AB68" t="str">
        <f t="shared" si="20"/>
        <v/>
      </c>
      <c r="AC68" t="str">
        <f>IF(I68="","",IF(I68='Live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
      </c>
      <c r="AF68" t="str">
        <f>IF(I68="","",IF(Q68="",0,IF(AND(Q68&gt;0,COUNTIF('Stats Calculator'!$T$24:$AA$24,Q68)=1),HLOOKUP(Q68,'Stats Calculator'!$T$24:$AA$27,4,FALSE),IF(AND(Q68&gt;0,COUNTIF('Stats Calculator'!$T$25:$AA$25,Q68)=1),HLOOKUP(Q68,'Stats Calculator'!$T$25:$AA$27,3,FALSE)))))</f>
        <v/>
      </c>
      <c r="AG68" t="str">
        <f>IF(I68="","",COUNTIF(I68,'Stats Calculator'!E$31)+COUNTIF(J68,'Stats Calculator'!E$32)+COUNTIF(K68,'Stats Calculator'!E$33)+COUNTIF(L68,'Stats Calculator'!E$34)+COUNTIF(M68,'Stats Calculator'!E$35)+COUNTIF(N68,'Stats Calculator'!E$36)+COUNTIF(O68,'Stats Calculator'!E$37)+COUNTIF(P68,'Stats Calculator'!E$38)-8+Data!S$3)</f>
        <v/>
      </c>
      <c r="AH68" t="str">
        <f>IF(I68="","",IF(Q68="",0,IF(Q68=0,0,IF(VLOOKUP(Engine!AF68,'Stats Calculator'!B$31:E$38,4,FALSE)="",0,IF(VLOOKUP(Engine!AF68,'Stats Calculator'!B$31:E$38,4,FALSE)=Q68,2,-2)))))</f>
        <v/>
      </c>
      <c r="AI68" t="str">
        <f>IF(I68="","",Data!S$3-COUNTA('Stats Calculator'!E$31:E$38))</f>
        <v/>
      </c>
      <c r="AJ68" t="str">
        <f>IF(I68="","",IF(AF68=0,0,IF(VLOOKUP(AF68,'Stats Calculator'!B$31:E$38,4,FALSE)&gt;0,0,2)))</f>
        <v/>
      </c>
      <c r="AK68" t="str">
        <f>IF(I68="","",IF(Data!S$3-Engine!AI68=AG68,2,0))</f>
        <v/>
      </c>
      <c r="AL68" t="str">
        <f t="shared" si="27"/>
        <v/>
      </c>
    </row>
    <row r="69" spans="1:38" x14ac:dyDescent="0.35">
      <c r="A69">
        <v>68</v>
      </c>
      <c r="B69" t="str">
        <f t="shared" si="18"/>
        <v/>
      </c>
      <c r="C69" s="111" t="str">
        <f t="shared" si="21"/>
        <v/>
      </c>
      <c r="D69" t="str">
        <f t="shared" si="19"/>
        <v/>
      </c>
      <c r="E69" s="3" t="str">
        <f t="shared" si="22"/>
        <v/>
      </c>
      <c r="F69" t="str">
        <f t="shared" si="23"/>
        <v/>
      </c>
      <c r="G69">
        <v>27</v>
      </c>
      <c r="H69" t="str">
        <f>Data!A69</f>
        <v>ZZZZZZ Suspend</v>
      </c>
      <c r="I69" s="2" t="str">
        <f>Data!C69</f>
        <v/>
      </c>
      <c r="J69" s="2" t="str">
        <f>Data!D69</f>
        <v/>
      </c>
      <c r="K69" s="2" t="str">
        <f>Data!E69</f>
        <v/>
      </c>
      <c r="L69" s="2" t="str">
        <f>IF(Data!$S$3&lt;Engine!L$1,0,Data!F69)</f>
        <v/>
      </c>
      <c r="M69" s="2" t="str">
        <f>IF(Data!$S$3&lt;Engine!M$1,0,Data!G69)</f>
        <v/>
      </c>
      <c r="N69" s="2" t="str">
        <f>IF(Data!$S$3&lt;Engine!N$1,0,Data!H69)</f>
        <v/>
      </c>
      <c r="O69" s="2" t="str">
        <f>IF(Data!$S$3&lt;Engine!O$1,0,Data!I69)</f>
        <v/>
      </c>
      <c r="P69" s="2" t="str">
        <f>IF(Data!$S$3&lt;Engine!P$1,0,Data!J69)</f>
        <v/>
      </c>
      <c r="Q69" s="11" t="str">
        <f>IF(Data!B69=1,Data!K69,"No Tips")</f>
        <v>No Tips</v>
      </c>
      <c r="R69" s="2" t="str">
        <f>Data!L69</f>
        <v/>
      </c>
      <c r="S69" s="2" t="str">
        <f>Data!M69</f>
        <v/>
      </c>
      <c r="T69" s="1" t="str">
        <f>IF(I69="","",COUNTIF('Live Ladder'!P:P,I69)+COUNTIF('Live Ladder'!P:P,J69)+COUNTIF('Live Ladder'!P:P,K69)+COUNTIF('Live Ladder'!P:P,L69)+COUNTIF('Live Ladder'!P:P,M69)+COUNTIF('Live Ladder'!P:P,N69)+COUNTIF('Live Ladder'!P:P,O69)+COUNTIF('Live Ladder'!P:P,P69))</f>
        <v/>
      </c>
      <c r="U69" s="1" t="str">
        <f>IF(I69="","",IF(COUNTIF('Live Ladder'!P:P,Engine!Q69)=1,2,IF(COUNTIF('Live Ladder'!Q:Q,Engine!Q69)=1,-2,0)))</f>
        <v/>
      </c>
      <c r="V69" s="1" t="str">
        <f>IF(I69="","",IF(T69=Data!S$3,2,0))</f>
        <v/>
      </c>
      <c r="W69" s="1">
        <f t="shared" si="24"/>
        <v>-2</v>
      </c>
      <c r="X69" s="1">
        <f>IF(I69="",AE$2,IF(I69='Live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28</v>
      </c>
      <c r="Y69" t="str">
        <f t="shared" si="15"/>
        <v/>
      </c>
      <c r="Z69" t="str">
        <f t="shared" si="25"/>
        <v/>
      </c>
      <c r="AA69" s="111" t="str">
        <f t="shared" si="26"/>
        <v/>
      </c>
      <c r="AB69" t="str">
        <f t="shared" si="20"/>
        <v/>
      </c>
      <c r="AC69" t="str">
        <f>IF(I69="","",IF(I69='Live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
      </c>
      <c r="AF69" t="str">
        <f>IF(I69="","",IF(Q69="",0,IF(AND(Q69&gt;0,COUNTIF('Stats Calculator'!$T$24:$AA$24,Q69)=1),HLOOKUP(Q69,'Stats Calculator'!$T$24:$AA$27,4,FALSE),IF(AND(Q69&gt;0,COUNTIF('Stats Calculator'!$T$25:$AA$25,Q69)=1),HLOOKUP(Q69,'Stats Calculator'!$T$25:$AA$27,3,FALSE)))))</f>
        <v/>
      </c>
      <c r="AG69" t="str">
        <f>IF(I69="","",COUNTIF(I69,'Stats Calculator'!E$31)+COUNTIF(J69,'Stats Calculator'!E$32)+COUNTIF(K69,'Stats Calculator'!E$33)+COUNTIF(L69,'Stats Calculator'!E$34)+COUNTIF(M69,'Stats Calculator'!E$35)+COUNTIF(N69,'Stats Calculator'!E$36)+COUNTIF(O69,'Stats Calculator'!E$37)+COUNTIF(P69,'Stats Calculator'!E$38)-8+Data!S$3)</f>
        <v/>
      </c>
      <c r="AH69" t="str">
        <f>IF(I69="","",IF(Q69="",0,IF(Q69=0,0,IF(VLOOKUP(Engine!AF69,'Stats Calculator'!B$31:E$38,4,FALSE)="",0,IF(VLOOKUP(Engine!AF69,'Stats Calculator'!B$31:E$38,4,FALSE)=Q69,2,-2)))))</f>
        <v/>
      </c>
      <c r="AI69" t="str">
        <f>IF(I69="","",Data!S$3-COUNTA('Stats Calculator'!E$31:E$38))</f>
        <v/>
      </c>
      <c r="AJ69" t="str">
        <f>IF(I69="","",IF(AF69=0,0,IF(VLOOKUP(AF69,'Stats Calculator'!B$31:E$38,4,FALSE)&gt;0,0,2)))</f>
        <v/>
      </c>
      <c r="AK69" t="str">
        <f>IF(I69="","",IF(Data!S$3-Engine!AI69=AG69,2,0))</f>
        <v/>
      </c>
      <c r="AL69" t="str">
        <f t="shared" si="27"/>
        <v/>
      </c>
    </row>
    <row r="70" spans="1:38" x14ac:dyDescent="0.35">
      <c r="A70">
        <v>69</v>
      </c>
      <c r="B70" t="str">
        <f t="shared" si="18"/>
        <v/>
      </c>
      <c r="C70" s="111" t="str">
        <f t="shared" si="21"/>
        <v/>
      </c>
      <c r="D70" t="str">
        <f t="shared" si="19"/>
        <v/>
      </c>
      <c r="E70" s="3" t="str">
        <f t="shared" si="22"/>
        <v/>
      </c>
      <c r="F70" t="str">
        <f t="shared" si="23"/>
        <v/>
      </c>
      <c r="G70">
        <v>25</v>
      </c>
      <c r="H70" t="str">
        <f>Data!A71</f>
        <v>ZZZZZZ Suspend</v>
      </c>
      <c r="I70" s="2" t="str">
        <f>Data!C71</f>
        <v/>
      </c>
      <c r="J70" s="2" t="str">
        <f>Data!D71</f>
        <v/>
      </c>
      <c r="K70" s="2" t="str">
        <f>Data!E71</f>
        <v/>
      </c>
      <c r="L70" s="2" t="str">
        <f>IF(Data!$S$3&lt;Engine!L$1,0,Data!F71)</f>
        <v/>
      </c>
      <c r="M70" s="2" t="str">
        <f>IF(Data!$S$3&lt;Engine!M$1,0,Data!G71)</f>
        <v/>
      </c>
      <c r="N70" s="2" t="str">
        <f>IF(Data!$S$3&lt;Engine!N$1,0,Data!H71)</f>
        <v/>
      </c>
      <c r="O70" s="2" t="str">
        <f>IF(Data!$S$3&lt;Engine!O$1,0,Data!I71)</f>
        <v/>
      </c>
      <c r="P70" s="2" t="str">
        <f>IF(Data!$S$3&lt;Engine!P$1,0,Data!J71)</f>
        <v/>
      </c>
      <c r="Q70" s="11" t="str">
        <f>IF(Data!B71=1,Data!K71,"No Tips")</f>
        <v>No Tips</v>
      </c>
      <c r="R70" s="2" t="str">
        <f>Data!L71</f>
        <v/>
      </c>
      <c r="S70" s="2" t="str">
        <f>Data!M71</f>
        <v/>
      </c>
      <c r="T70" s="1" t="str">
        <f>IF(I70="","",COUNTIF('Live Ladder'!P:P,I70)+COUNTIF('Live Ladder'!P:P,J70)+COUNTIF('Live Ladder'!P:P,K70)+COUNTIF('Live Ladder'!P:P,L70)+COUNTIF('Live Ladder'!P:P,M70)+COUNTIF('Live Ladder'!P:P,N70)+COUNTIF('Live Ladder'!P:P,O70)+COUNTIF('Live Ladder'!P:P,P70))</f>
        <v/>
      </c>
      <c r="U70" s="1" t="str">
        <f>IF(I70="","",IF(COUNTIF('Live Ladder'!P:P,Engine!Q70)=1,2,IF(COUNTIF('Live Ladder'!Q:Q,Engine!Q70)=1,-2,0)))</f>
        <v/>
      </c>
      <c r="V70" s="1" t="str">
        <f>IF(I70="","",IF(T70=Data!S$3,2,0))</f>
        <v/>
      </c>
      <c r="W70" s="1">
        <f t="shared" si="24"/>
        <v>-2</v>
      </c>
      <c r="X70" s="1">
        <f>IF(I70="",AE$2,IF(I70='Live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28</v>
      </c>
      <c r="Y70" t="str">
        <f t="shared" si="15"/>
        <v/>
      </c>
      <c r="Z70" t="str">
        <f t="shared" si="25"/>
        <v/>
      </c>
      <c r="AA70" s="111" t="str">
        <f t="shared" si="26"/>
        <v/>
      </c>
      <c r="AB70" t="str">
        <f t="shared" si="20"/>
        <v/>
      </c>
      <c r="AC70" t="str">
        <f>IF(I70="","",IF(I70='Live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
      </c>
      <c r="AF70" t="str">
        <f>IF(I70="","",IF(Q70="",0,IF(AND(Q70&gt;0,COUNTIF('Stats Calculator'!$T$24:$AA$24,Q70)=1),HLOOKUP(Q70,'Stats Calculator'!$T$24:$AA$27,4,FALSE),IF(AND(Q70&gt;0,COUNTIF('Stats Calculator'!$T$25:$AA$25,Q70)=1),HLOOKUP(Q70,'Stats Calculator'!$T$25:$AA$27,3,FALSE)))))</f>
        <v/>
      </c>
      <c r="AG70" t="str">
        <f>IF(I70="","",COUNTIF(I70,'Stats Calculator'!E$31)+COUNTIF(J70,'Stats Calculator'!E$32)+COUNTIF(K70,'Stats Calculator'!E$33)+COUNTIF(L70,'Stats Calculator'!E$34)+COUNTIF(M70,'Stats Calculator'!E$35)+COUNTIF(N70,'Stats Calculator'!E$36)+COUNTIF(O70,'Stats Calculator'!E$37)+COUNTIF(P70,'Stats Calculator'!E$38)-8+Data!S$3)</f>
        <v/>
      </c>
      <c r="AH70" t="str">
        <f>IF(I70="","",IF(Q70="",0,IF(Q70=0,0,IF(VLOOKUP(Engine!AF70,'Stats Calculator'!B$31:E$38,4,FALSE)="",0,IF(VLOOKUP(Engine!AF70,'Stats Calculator'!B$31:E$38,4,FALSE)=Q70,2,-2)))))</f>
        <v/>
      </c>
      <c r="AI70" t="str">
        <f>IF(I70="","",Data!S$3-COUNTA('Stats Calculator'!E$31:E$38))</f>
        <v/>
      </c>
      <c r="AJ70" t="str">
        <f>IF(I70="","",IF(AF70=0,0,IF(VLOOKUP(AF70,'Stats Calculator'!B$31:E$38,4,FALSE)&gt;0,0,2)))</f>
        <v/>
      </c>
      <c r="AK70" t="str">
        <f>IF(I70="","",IF(Data!S$3-Engine!AI70=AG70,2,0))</f>
        <v/>
      </c>
      <c r="AL70" t="str">
        <f t="shared" si="27"/>
        <v/>
      </c>
    </row>
    <row r="71" spans="1:38" x14ac:dyDescent="0.35">
      <c r="A71">
        <v>70</v>
      </c>
      <c r="B71" t="str">
        <f t="shared" si="18"/>
        <v/>
      </c>
      <c r="C71" s="111" t="str">
        <f t="shared" si="21"/>
        <v/>
      </c>
      <c r="D71" t="str">
        <f t="shared" si="19"/>
        <v/>
      </c>
      <c r="E71" s="3" t="str">
        <f t="shared" si="22"/>
        <v/>
      </c>
      <c r="F71" t="str">
        <f t="shared" si="23"/>
        <v/>
      </c>
      <c r="G71">
        <v>24</v>
      </c>
      <c r="H71" t="str">
        <f>Data!A72</f>
        <v>ZZZZZZ Suspend</v>
      </c>
      <c r="I71" s="2" t="str">
        <f>Data!C72</f>
        <v/>
      </c>
      <c r="J71" s="2" t="str">
        <f>Data!D72</f>
        <v/>
      </c>
      <c r="K71" s="2" t="str">
        <f>Data!E72</f>
        <v/>
      </c>
      <c r="L71" s="2" t="str">
        <f>IF(Data!$S$3&lt;Engine!L$1,0,Data!F72)</f>
        <v/>
      </c>
      <c r="M71" s="2" t="str">
        <f>IF(Data!$S$3&lt;Engine!M$1,0,Data!G72)</f>
        <v/>
      </c>
      <c r="N71" s="2" t="str">
        <f>IF(Data!$S$3&lt;Engine!N$1,0,Data!H72)</f>
        <v/>
      </c>
      <c r="O71" s="2" t="str">
        <f>IF(Data!$S$3&lt;Engine!O$1,0,Data!I72)</f>
        <v/>
      </c>
      <c r="P71" s="2" t="str">
        <f>IF(Data!$S$3&lt;Engine!P$1,0,Data!J72)</f>
        <v/>
      </c>
      <c r="Q71" s="11" t="str">
        <f>IF(Data!B72=1,Data!K72,"No Tips")</f>
        <v>No Tips</v>
      </c>
      <c r="R71" s="2" t="str">
        <f>Data!L72</f>
        <v/>
      </c>
      <c r="S71" s="2" t="str">
        <f>Data!M72</f>
        <v/>
      </c>
      <c r="T71" s="1" t="str">
        <f>IF(I71="","",COUNTIF('Live Ladder'!P:P,I71)+COUNTIF('Live Ladder'!P:P,J71)+COUNTIF('Live Ladder'!P:P,K71)+COUNTIF('Live Ladder'!P:P,L71)+COUNTIF('Live Ladder'!P:P,M71)+COUNTIF('Live Ladder'!P:P,N71)+COUNTIF('Live Ladder'!P:P,O71)+COUNTIF('Live Ladder'!P:P,P71))</f>
        <v/>
      </c>
      <c r="U71" s="1" t="str">
        <f>IF(I71="","",IF(COUNTIF('Live Ladder'!P:P,Engine!Q71)=1,2,IF(COUNTIF('Live Ladder'!Q:Q,Engine!Q71)=1,-2,0)))</f>
        <v/>
      </c>
      <c r="V71" s="1" t="str">
        <f>IF(I71="","",IF(T71=Data!S$3,2,0))</f>
        <v/>
      </c>
      <c r="W71" s="1">
        <f t="shared" si="24"/>
        <v>-2</v>
      </c>
      <c r="X71" s="1">
        <f>IF(I71="",AE$2,IF(I71='Live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28</v>
      </c>
      <c r="Y71" t="str">
        <f t="shared" si="15"/>
        <v/>
      </c>
      <c r="Z71" t="str">
        <f t="shared" si="25"/>
        <v/>
      </c>
      <c r="AA71" s="111" t="str">
        <f t="shared" si="26"/>
        <v/>
      </c>
      <c r="AB71" t="str">
        <f t="shared" si="20"/>
        <v/>
      </c>
      <c r="AC71" t="str">
        <f>IF(I71="","",IF(I71='Live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
      </c>
      <c r="AF71" t="str">
        <f>IF(I71="","",IF(Q71="",0,IF(AND(Q71&gt;0,COUNTIF('Stats Calculator'!$T$24:$AA$24,Q71)=1),HLOOKUP(Q71,'Stats Calculator'!$T$24:$AA$27,4,FALSE),IF(AND(Q71&gt;0,COUNTIF('Stats Calculator'!$T$25:$AA$25,Q71)=1),HLOOKUP(Q71,'Stats Calculator'!$T$25:$AA$27,3,FALSE)))))</f>
        <v/>
      </c>
      <c r="AG71" t="str">
        <f>IF(I71="","",COUNTIF(I71,'Stats Calculator'!E$31)+COUNTIF(J71,'Stats Calculator'!E$32)+COUNTIF(K71,'Stats Calculator'!E$33)+COUNTIF(L71,'Stats Calculator'!E$34)+COUNTIF(M71,'Stats Calculator'!E$35)+COUNTIF(N71,'Stats Calculator'!E$36)+COUNTIF(O71,'Stats Calculator'!E$37)+COUNTIF(P71,'Stats Calculator'!E$38)-8+Data!S$3)</f>
        <v/>
      </c>
      <c r="AH71" t="str">
        <f>IF(I71="","",IF(Q71="",0,IF(Q71=0,0,IF(VLOOKUP(Engine!AF71,'Stats Calculator'!B$31:E$38,4,FALSE)="",0,IF(VLOOKUP(Engine!AF71,'Stats Calculator'!B$31:E$38,4,FALSE)=Q71,2,-2)))))</f>
        <v/>
      </c>
      <c r="AI71" t="str">
        <f>IF(I71="","",Data!S$3-COUNTA('Stats Calculator'!E$31:E$38))</f>
        <v/>
      </c>
      <c r="AJ71" t="str">
        <f>IF(I71="","",IF(AF71=0,0,IF(VLOOKUP(AF71,'Stats Calculator'!B$31:E$38,4,FALSE)&gt;0,0,2)))</f>
        <v/>
      </c>
      <c r="AK71" t="str">
        <f>IF(I71="","",IF(Data!S$3-Engine!AI71=AG71,2,0))</f>
        <v/>
      </c>
      <c r="AL71" t="str">
        <f t="shared" si="27"/>
        <v/>
      </c>
    </row>
    <row r="72" spans="1:38" x14ac:dyDescent="0.35">
      <c r="A72">
        <v>71</v>
      </c>
      <c r="B72" t="str">
        <f t="shared" si="18"/>
        <v/>
      </c>
      <c r="C72" s="111" t="str">
        <f t="shared" si="21"/>
        <v/>
      </c>
      <c r="D72" t="str">
        <f t="shared" si="19"/>
        <v/>
      </c>
      <c r="E72" s="3" t="str">
        <f t="shared" si="22"/>
        <v/>
      </c>
      <c r="F72" t="str">
        <f t="shared" si="23"/>
        <v/>
      </c>
      <c r="G72">
        <v>23</v>
      </c>
      <c r="H72" t="str">
        <f>Data!A73</f>
        <v>ZZZZZZ Suspend</v>
      </c>
      <c r="I72" s="2" t="str">
        <f>Data!C73</f>
        <v/>
      </c>
      <c r="J72" s="2" t="str">
        <f>Data!D73</f>
        <v/>
      </c>
      <c r="K72" s="2" t="str">
        <f>Data!E73</f>
        <v/>
      </c>
      <c r="L72" s="2" t="str">
        <f>IF(Data!$S$3&lt;Engine!L$1,0,Data!F73)</f>
        <v/>
      </c>
      <c r="M72" s="2" t="str">
        <f>IF(Data!$S$3&lt;Engine!M$1,0,Data!G73)</f>
        <v/>
      </c>
      <c r="N72" s="2" t="str">
        <f>IF(Data!$S$3&lt;Engine!N$1,0,Data!H73)</f>
        <v/>
      </c>
      <c r="O72" s="2" t="str">
        <f>IF(Data!$S$3&lt;Engine!O$1,0,Data!I73)</f>
        <v/>
      </c>
      <c r="P72" s="2" t="str">
        <f>IF(Data!$S$3&lt;Engine!P$1,0,Data!J73)</f>
        <v/>
      </c>
      <c r="Q72" s="11" t="str">
        <f>IF(Data!B73=1,Data!K73,"No Tips")</f>
        <v>No Tips</v>
      </c>
      <c r="R72" s="2" t="str">
        <f>Data!L73</f>
        <v/>
      </c>
      <c r="S72" s="2" t="str">
        <f>Data!M73</f>
        <v/>
      </c>
      <c r="T72" s="1" t="str">
        <f>IF(I72="","",COUNTIF('Live Ladder'!P:P,I72)+COUNTIF('Live Ladder'!P:P,J72)+COUNTIF('Live Ladder'!P:P,K72)+COUNTIF('Live Ladder'!P:P,L72)+COUNTIF('Live Ladder'!P:P,M72)+COUNTIF('Live Ladder'!P:P,N72)+COUNTIF('Live Ladder'!P:P,O72)+COUNTIF('Live Ladder'!P:P,P72))</f>
        <v/>
      </c>
      <c r="U72" s="1" t="str">
        <f>IF(I72="","",IF(COUNTIF('Live Ladder'!P:P,Engine!Q72)=1,2,IF(COUNTIF('Live Ladder'!Q:Q,Engine!Q72)=1,-2,0)))</f>
        <v/>
      </c>
      <c r="V72" s="1" t="str">
        <f>IF(I72="","",IF(T72=Data!S$3,2,0))</f>
        <v/>
      </c>
      <c r="W72" s="1">
        <f t="shared" si="24"/>
        <v>-2</v>
      </c>
      <c r="X72" s="1">
        <f>IF(I72="",AE$2,IF(I72='Live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28</v>
      </c>
      <c r="Y72" t="str">
        <f t="shared" si="15"/>
        <v/>
      </c>
      <c r="Z72" t="str">
        <f t="shared" si="25"/>
        <v/>
      </c>
      <c r="AA72" s="111" t="str">
        <f t="shared" si="26"/>
        <v/>
      </c>
      <c r="AB72" t="str">
        <f t="shared" si="20"/>
        <v/>
      </c>
      <c r="AC72" t="str">
        <f>IF(I72="","",IF(I72='Live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
      </c>
      <c r="AF72" t="str">
        <f>IF(I72="","",IF(Q72="",0,IF(AND(Q72&gt;0,COUNTIF('Stats Calculator'!$T$24:$AA$24,Q72)=1),HLOOKUP(Q72,'Stats Calculator'!$T$24:$AA$27,4,FALSE),IF(AND(Q72&gt;0,COUNTIF('Stats Calculator'!$T$25:$AA$25,Q72)=1),HLOOKUP(Q72,'Stats Calculator'!$T$25:$AA$27,3,FALSE)))))</f>
        <v/>
      </c>
      <c r="AG72" t="str">
        <f>IF(I72="","",COUNTIF(I72,'Stats Calculator'!E$31)+COUNTIF(J72,'Stats Calculator'!E$32)+COUNTIF(K72,'Stats Calculator'!E$33)+COUNTIF(L72,'Stats Calculator'!E$34)+COUNTIF(M72,'Stats Calculator'!E$35)+COUNTIF(N72,'Stats Calculator'!E$36)+COUNTIF(O72,'Stats Calculator'!E$37)+COUNTIF(P72,'Stats Calculator'!E$38)-8+Data!S$3)</f>
        <v/>
      </c>
      <c r="AH72" t="str">
        <f>IF(I72="","",IF(Q72="",0,IF(Q72=0,0,IF(VLOOKUP(Engine!AF72,'Stats Calculator'!B$31:E$38,4,FALSE)="",0,IF(VLOOKUP(Engine!AF72,'Stats Calculator'!B$31:E$38,4,FALSE)=Q72,2,-2)))))</f>
        <v/>
      </c>
      <c r="AI72" t="str">
        <f>IF(I72="","",Data!S$3-COUNTA('Stats Calculator'!E$31:E$38))</f>
        <v/>
      </c>
      <c r="AJ72" t="str">
        <f>IF(I72="","",IF(AF72=0,0,IF(VLOOKUP(AF72,'Stats Calculator'!B$31:E$38,4,FALSE)&gt;0,0,2)))</f>
        <v/>
      </c>
      <c r="AK72" t="str">
        <f>IF(I72="","",IF(Data!S$3-Engine!AI72=AG72,2,0))</f>
        <v/>
      </c>
      <c r="AL72" t="str">
        <f t="shared" si="27"/>
        <v/>
      </c>
    </row>
    <row r="73" spans="1:38" x14ac:dyDescent="0.35">
      <c r="A73">
        <v>72</v>
      </c>
      <c r="B73" t="str">
        <f t="shared" si="18"/>
        <v/>
      </c>
      <c r="C73" s="111" t="str">
        <f t="shared" si="21"/>
        <v/>
      </c>
      <c r="D73" t="str">
        <f t="shared" si="19"/>
        <v/>
      </c>
      <c r="E73" s="3" t="str">
        <f t="shared" si="22"/>
        <v/>
      </c>
      <c r="F73" t="str">
        <f t="shared" si="23"/>
        <v/>
      </c>
      <c r="G73">
        <v>22</v>
      </c>
      <c r="H73" t="str">
        <f>Data!A74</f>
        <v>ZZZZZZ Suspend</v>
      </c>
      <c r="I73" s="2" t="str">
        <f>Data!C74</f>
        <v/>
      </c>
      <c r="J73" s="2" t="str">
        <f>Data!D74</f>
        <v/>
      </c>
      <c r="K73" s="2" t="str">
        <f>Data!E74</f>
        <v/>
      </c>
      <c r="L73" s="2" t="str">
        <f>IF(Data!$S$3&lt;Engine!L$1,0,Data!F74)</f>
        <v/>
      </c>
      <c r="M73" s="2" t="str">
        <f>IF(Data!$S$3&lt;Engine!M$1,0,Data!G74)</f>
        <v/>
      </c>
      <c r="N73" s="2" t="str">
        <f>IF(Data!$S$3&lt;Engine!N$1,0,Data!H74)</f>
        <v/>
      </c>
      <c r="O73" s="2" t="str">
        <f>IF(Data!$S$3&lt;Engine!O$1,0,Data!I74)</f>
        <v/>
      </c>
      <c r="P73" s="2" t="str">
        <f>IF(Data!$S$3&lt;Engine!P$1,0,Data!J74)</f>
        <v/>
      </c>
      <c r="Q73" s="11" t="str">
        <f>IF(Data!B74=1,Data!K74,"No Tips")</f>
        <v>No Tips</v>
      </c>
      <c r="R73" s="2" t="str">
        <f>Data!L74</f>
        <v/>
      </c>
      <c r="S73" s="2" t="str">
        <f>Data!M74</f>
        <v/>
      </c>
      <c r="T73" s="1" t="str">
        <f>IF(I73="","",COUNTIF('Live Ladder'!P:P,I73)+COUNTIF('Live Ladder'!P:P,J73)+COUNTIF('Live Ladder'!P:P,K73)+COUNTIF('Live Ladder'!P:P,L73)+COUNTIF('Live Ladder'!P:P,M73)+COUNTIF('Live Ladder'!P:P,N73)+COUNTIF('Live Ladder'!P:P,O73)+COUNTIF('Live Ladder'!P:P,P73))</f>
        <v/>
      </c>
      <c r="U73" s="1" t="str">
        <f>IF(I73="","",IF(COUNTIF('Live Ladder'!P:P,Engine!Q73)=1,2,IF(COUNTIF('Live Ladder'!Q:Q,Engine!Q73)=1,-2,0)))</f>
        <v/>
      </c>
      <c r="V73" s="1" t="str">
        <f>IF(I73="","",IF(T73=Data!S$3,2,0))</f>
        <v/>
      </c>
      <c r="W73" s="1">
        <f t="shared" si="24"/>
        <v>-2</v>
      </c>
      <c r="X73" s="1">
        <f>IF(I73="",AE$2,IF(I73='Live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28</v>
      </c>
      <c r="Y73" t="str">
        <f t="shared" si="15"/>
        <v/>
      </c>
      <c r="Z73" t="str">
        <f t="shared" si="25"/>
        <v/>
      </c>
      <c r="AA73" s="111" t="str">
        <f t="shared" si="26"/>
        <v/>
      </c>
      <c r="AB73" t="str">
        <f t="shared" si="20"/>
        <v/>
      </c>
      <c r="AC73" t="str">
        <f>IF(I73="","",IF(I73='Live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
      </c>
      <c r="AF73" t="str">
        <f>IF(I73="","",IF(Q73="",0,IF(AND(Q73&gt;0,COUNTIF('Stats Calculator'!$T$24:$AA$24,Q73)=1),HLOOKUP(Q73,'Stats Calculator'!$T$24:$AA$27,4,FALSE),IF(AND(Q73&gt;0,COUNTIF('Stats Calculator'!$T$25:$AA$25,Q73)=1),HLOOKUP(Q73,'Stats Calculator'!$T$25:$AA$27,3,FALSE)))))</f>
        <v/>
      </c>
      <c r="AG73" t="str">
        <f>IF(I73="","",COUNTIF(I73,'Stats Calculator'!E$31)+COUNTIF(J73,'Stats Calculator'!E$32)+COUNTIF(K73,'Stats Calculator'!E$33)+COUNTIF(L73,'Stats Calculator'!E$34)+COUNTIF(M73,'Stats Calculator'!E$35)+COUNTIF(N73,'Stats Calculator'!E$36)+COUNTIF(O73,'Stats Calculator'!E$37)+COUNTIF(P73,'Stats Calculator'!E$38)-8+Data!S$3)</f>
        <v/>
      </c>
      <c r="AH73" t="str">
        <f>IF(I73="","",IF(Q73="",0,IF(Q73=0,0,IF(VLOOKUP(Engine!AF73,'Stats Calculator'!B$31:E$38,4,FALSE)="",0,IF(VLOOKUP(Engine!AF73,'Stats Calculator'!B$31:E$38,4,FALSE)=Q73,2,-2)))))</f>
        <v/>
      </c>
      <c r="AI73" t="str">
        <f>IF(I73="","",Data!S$3-COUNTA('Stats Calculator'!E$31:E$38))</f>
        <v/>
      </c>
      <c r="AJ73" t="str">
        <f>IF(I73="","",IF(AF73=0,0,IF(VLOOKUP(AF73,'Stats Calculator'!B$31:E$38,4,FALSE)&gt;0,0,2)))</f>
        <v/>
      </c>
      <c r="AK73" t="str">
        <f>IF(I73="","",IF(Data!S$3-Engine!AI73=AG73,2,0))</f>
        <v/>
      </c>
      <c r="AL73" t="str">
        <f t="shared" si="27"/>
        <v/>
      </c>
    </row>
    <row r="74" spans="1:38" s="10" customFormat="1" x14ac:dyDescent="0.35">
      <c r="A74" s="10">
        <v>73</v>
      </c>
      <c r="B74" s="10" t="str">
        <f t="shared" si="18"/>
        <v/>
      </c>
      <c r="C74" s="111" t="str">
        <f t="shared" si="21"/>
        <v/>
      </c>
      <c r="D74" s="10" t="str">
        <f t="shared" si="19"/>
        <v/>
      </c>
      <c r="E74" s="106" t="str">
        <f t="shared" si="22"/>
        <v/>
      </c>
      <c r="F74" s="10" t="str">
        <f t="shared" si="23"/>
        <v/>
      </c>
      <c r="G74">
        <v>21</v>
      </c>
      <c r="H74" t="str">
        <f>Data!A75</f>
        <v>ZZZZZZ Suspend</v>
      </c>
      <c r="I74" s="2" t="str">
        <f>Data!C75</f>
        <v/>
      </c>
      <c r="J74" s="2" t="str">
        <f>Data!D75</f>
        <v/>
      </c>
      <c r="K74" s="2" t="str">
        <f>Data!E75</f>
        <v/>
      </c>
      <c r="L74" s="2" t="str">
        <f>IF(Data!$S$3&lt;Engine!L$1,0,Data!F75)</f>
        <v/>
      </c>
      <c r="M74" s="2" t="str">
        <f>IF(Data!$S$3&lt;Engine!M$1,0,Data!G75)</f>
        <v/>
      </c>
      <c r="N74" s="2" t="str">
        <f>IF(Data!$S$3&lt;Engine!N$1,0,Data!H75)</f>
        <v/>
      </c>
      <c r="O74" s="2" t="str">
        <f>IF(Data!$S$3&lt;Engine!O$1,0,Data!I75)</f>
        <v/>
      </c>
      <c r="P74" s="2" t="str">
        <f>IF(Data!$S$3&lt;Engine!P$1,0,Data!J75)</f>
        <v/>
      </c>
      <c r="Q74" s="11" t="str">
        <f>IF(Data!B75=1,Data!K75,"No Tips")</f>
        <v>No Tips</v>
      </c>
      <c r="R74" s="2" t="str">
        <f>Data!L75</f>
        <v/>
      </c>
      <c r="S74" s="2" t="str">
        <f>Data!M75</f>
        <v/>
      </c>
      <c r="T74" s="1" t="str">
        <f>IF(I74="","",COUNTIF('Live Ladder'!P:P,I74)+COUNTIF('Live Ladder'!P:P,J74)+COUNTIF('Live Ladder'!P:P,K74)+COUNTIF('Live Ladder'!P:P,L74)+COUNTIF('Live Ladder'!P:P,M74)+COUNTIF('Live Ladder'!P:P,N74)+COUNTIF('Live Ladder'!P:P,O74)+COUNTIF('Live Ladder'!P:P,P74))</f>
        <v/>
      </c>
      <c r="U74" s="1" t="str">
        <f>IF(I74="","",IF(COUNTIF('Live Ladder'!P:P,Engine!Q74)=1,2,IF(COUNTIF('Live Ladder'!Q:Q,Engine!Q74)=1,-2,0)))</f>
        <v/>
      </c>
      <c r="V74" s="1" t="str">
        <f>IF(I74="","",IF(T74=Data!S$3,2,0))</f>
        <v/>
      </c>
      <c r="W74" s="1">
        <f t="shared" si="24"/>
        <v>-2</v>
      </c>
      <c r="X74" s="107">
        <f>IF(I74="",AE$2,IF(I74='Live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28</v>
      </c>
      <c r="Y74" t="str">
        <f t="shared" si="15"/>
        <v/>
      </c>
      <c r="Z74" s="10" t="str">
        <f t="shared" si="25"/>
        <v/>
      </c>
      <c r="AA74" s="111" t="str">
        <f t="shared" si="26"/>
        <v/>
      </c>
      <c r="AB74" t="str">
        <f t="shared" si="20"/>
        <v/>
      </c>
      <c r="AC74" s="10" t="str">
        <f>IF(I74="","",IF(I74='Live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
      </c>
      <c r="AF74" s="10" t="str">
        <f>IF(I74="","",IF(Q74="",0,IF(AND(Q74&gt;0,COUNTIF('Stats Calculator'!$T$24:$AA$24,Q74)=1),HLOOKUP(Q74,'Stats Calculator'!$T$24:$AA$27,4,FALSE),IF(AND(Q74&gt;0,COUNTIF('Stats Calculator'!$T$25:$AA$25,Q74)=1),HLOOKUP(Q74,'Stats Calculator'!$T$25:$AA$27,3,FALSE)))))</f>
        <v/>
      </c>
      <c r="AG74" s="10" t="str">
        <f>IF(I74="","",COUNTIF(I74,'Stats Calculator'!E$31)+COUNTIF(J74,'Stats Calculator'!E$32)+COUNTIF(K74,'Stats Calculator'!E$33)+COUNTIF(L74,'Stats Calculator'!E$34)+COUNTIF(M74,'Stats Calculator'!E$35)+COUNTIF(N74,'Stats Calculator'!E$36)+COUNTIF(O74,'Stats Calculator'!E$37)+COUNTIF(P74,'Stats Calculator'!E$38)-8+Data!S$3)</f>
        <v/>
      </c>
      <c r="AH74" s="10" t="str">
        <f>IF(I74="","",IF(Q74="",0,IF(Q74=0,0,IF(VLOOKUP(Engine!AF74,'Stats Calculator'!B$31:E$38,4,FALSE)="",0,IF(VLOOKUP(Engine!AF74,'Stats Calculator'!B$31:E$38,4,FALSE)=Q74,2,-2)))))</f>
        <v/>
      </c>
      <c r="AI74" s="10" t="str">
        <f>IF(I74="","",Data!S$3-COUNTA('Stats Calculator'!E$31:E$38))</f>
        <v/>
      </c>
      <c r="AJ74" s="10" t="str">
        <f>IF(I74="","",IF(AF74=0,0,IF(VLOOKUP(AF74,'Stats Calculator'!B$31:E$38,4,FALSE)&gt;0,0,2)))</f>
        <v/>
      </c>
      <c r="AK74" s="10" t="str">
        <f>IF(I74="","",IF(Data!S$3-Engine!AI74=AG74,2,0))</f>
        <v/>
      </c>
      <c r="AL74" s="10" t="str">
        <f t="shared" si="27"/>
        <v/>
      </c>
    </row>
    <row r="75" spans="1:38" x14ac:dyDescent="0.35">
      <c r="A75">
        <v>74</v>
      </c>
      <c r="B75" t="str">
        <f t="shared" si="18"/>
        <v/>
      </c>
      <c r="C75" s="111" t="str">
        <f t="shared" si="21"/>
        <v/>
      </c>
      <c r="D75" t="str">
        <f t="shared" si="19"/>
        <v/>
      </c>
      <c r="E75" s="3" t="str">
        <f t="shared" si="22"/>
        <v/>
      </c>
      <c r="F75" t="str">
        <f t="shared" si="23"/>
        <v/>
      </c>
      <c r="G75">
        <v>20</v>
      </c>
      <c r="H75" t="str">
        <f>Data!A76</f>
        <v>ZZZZZZ Suspend</v>
      </c>
      <c r="I75" s="2" t="str">
        <f>Data!C76</f>
        <v/>
      </c>
      <c r="J75" s="2" t="str">
        <f>Data!D76</f>
        <v/>
      </c>
      <c r="K75" s="2" t="str">
        <f>Data!E76</f>
        <v/>
      </c>
      <c r="L75" s="2" t="str">
        <f>IF(Data!$S$3&lt;Engine!L$1,0,Data!F76)</f>
        <v/>
      </c>
      <c r="M75" s="2" t="str">
        <f>IF(Data!$S$3&lt;Engine!M$1,0,Data!G76)</f>
        <v/>
      </c>
      <c r="N75" s="2" t="str">
        <f>IF(Data!$S$3&lt;Engine!N$1,0,Data!H76)</f>
        <v/>
      </c>
      <c r="O75" s="2" t="str">
        <f>IF(Data!$S$3&lt;Engine!O$1,0,Data!I76)</f>
        <v/>
      </c>
      <c r="P75" s="2" t="str">
        <f>IF(Data!$S$3&lt;Engine!P$1,0,Data!J76)</f>
        <v/>
      </c>
      <c r="Q75" s="11" t="str">
        <f>IF(Data!B76=1,Data!K76,"No Tips")</f>
        <v>No Tips</v>
      </c>
      <c r="R75" s="2" t="str">
        <f>Data!L76</f>
        <v/>
      </c>
      <c r="S75" s="2" t="str">
        <f>Data!M76</f>
        <v/>
      </c>
      <c r="T75" s="1" t="str">
        <f>IF(I75="","",COUNTIF('Live Ladder'!P:P,I75)+COUNTIF('Live Ladder'!P:P,J75)+COUNTIF('Live Ladder'!P:P,K75)+COUNTIF('Live Ladder'!P:P,L75)+COUNTIF('Live Ladder'!P:P,M75)+COUNTIF('Live Ladder'!P:P,N75)+COUNTIF('Live Ladder'!P:P,O75)+COUNTIF('Live Ladder'!P:P,P75))</f>
        <v/>
      </c>
      <c r="U75" s="1" t="str">
        <f>IF(I75="","",IF(COUNTIF('Live Ladder'!P:P,Engine!Q75)=1,2,IF(COUNTIF('Live Ladder'!Q:Q,Engine!Q75)=1,-2,0)))</f>
        <v/>
      </c>
      <c r="V75" s="1" t="str">
        <f>IF(I75="","",IF(T75=Data!S$3,2,0))</f>
        <v/>
      </c>
      <c r="W75" s="1">
        <f t="shared" si="24"/>
        <v>-2</v>
      </c>
      <c r="X75" s="1">
        <f>IF(I75="",AE$2,IF(I75='Live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28</v>
      </c>
      <c r="Y75" t="str">
        <f t="shared" si="15"/>
        <v/>
      </c>
      <c r="Z75" t="str">
        <f t="shared" si="25"/>
        <v/>
      </c>
      <c r="AA75" s="111" t="str">
        <f t="shared" si="26"/>
        <v/>
      </c>
      <c r="AB75" t="str">
        <f t="shared" si="20"/>
        <v/>
      </c>
      <c r="AC75" t="str">
        <f>IF(I75="","",IF(I75='Live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
      </c>
      <c r="AF75" t="str">
        <f>IF(I75="","",IF(Q75="",0,IF(AND(Q75&gt;0,COUNTIF('Stats Calculator'!$T$24:$AA$24,Q75)=1),HLOOKUP(Q75,'Stats Calculator'!$T$24:$AA$27,4,FALSE),IF(AND(Q75&gt;0,COUNTIF('Stats Calculator'!$T$25:$AA$25,Q75)=1),HLOOKUP(Q75,'Stats Calculator'!$T$25:$AA$27,3,FALSE)))))</f>
        <v/>
      </c>
      <c r="AG75" t="str">
        <f>IF(I75="","",COUNTIF(I75,'Stats Calculator'!E$31)+COUNTIF(J75,'Stats Calculator'!E$32)+COUNTIF(K75,'Stats Calculator'!E$33)+COUNTIF(L75,'Stats Calculator'!E$34)+COUNTIF(M75,'Stats Calculator'!E$35)+COUNTIF(N75,'Stats Calculator'!E$36)+COUNTIF(O75,'Stats Calculator'!E$37)+COUNTIF(P75,'Stats Calculator'!E$38)-8+Data!S$3)</f>
        <v/>
      </c>
      <c r="AH75" t="str">
        <f>IF(I75="","",IF(Q75="",0,IF(Q75=0,0,IF(VLOOKUP(Engine!AF75,'Stats Calculator'!B$31:E$38,4,FALSE)="",0,IF(VLOOKUP(Engine!AF75,'Stats Calculator'!B$31:E$38,4,FALSE)=Q75,2,-2)))))</f>
        <v/>
      </c>
      <c r="AI75" t="str">
        <f>IF(I75="","",Data!S$3-COUNTA('Stats Calculator'!E$31:E$38))</f>
        <v/>
      </c>
      <c r="AJ75" t="str">
        <f>IF(I75="","",IF(AF75=0,0,IF(VLOOKUP(AF75,'Stats Calculator'!B$31:E$38,4,FALSE)&gt;0,0,2)))</f>
        <v/>
      </c>
      <c r="AK75" t="str">
        <f>IF(I75="","",IF(Data!S$3-Engine!AI75=AG75,2,0))</f>
        <v/>
      </c>
      <c r="AL75" t="str">
        <f t="shared" si="27"/>
        <v/>
      </c>
    </row>
    <row r="76" spans="1:38" x14ac:dyDescent="0.35">
      <c r="A76">
        <v>75</v>
      </c>
      <c r="B76" t="str">
        <f t="shared" si="18"/>
        <v/>
      </c>
      <c r="C76" s="111" t="str">
        <f t="shared" si="21"/>
        <v/>
      </c>
      <c r="D76" t="str">
        <f t="shared" si="19"/>
        <v/>
      </c>
      <c r="E76" s="3" t="str">
        <f t="shared" si="22"/>
        <v/>
      </c>
      <c r="F76" t="str">
        <f t="shared" si="23"/>
        <v/>
      </c>
      <c r="G76">
        <v>19</v>
      </c>
      <c r="H76" t="str">
        <f>Data!A77</f>
        <v>ZZZZZZ Suspend</v>
      </c>
      <c r="I76" s="2" t="str">
        <f>Data!C77</f>
        <v/>
      </c>
      <c r="J76" s="2" t="str">
        <f>Data!D77</f>
        <v/>
      </c>
      <c r="K76" s="2" t="str">
        <f>Data!E77</f>
        <v/>
      </c>
      <c r="L76" s="2" t="str">
        <f>IF(Data!$S$3&lt;Engine!L$1,0,Data!F77)</f>
        <v/>
      </c>
      <c r="M76" s="2" t="str">
        <f>IF(Data!$S$3&lt;Engine!M$1,0,Data!G77)</f>
        <v/>
      </c>
      <c r="N76" s="2" t="str">
        <f>IF(Data!$S$3&lt;Engine!N$1,0,Data!H77)</f>
        <v/>
      </c>
      <c r="O76" s="2" t="str">
        <f>IF(Data!$S$3&lt;Engine!O$1,0,Data!I77)</f>
        <v/>
      </c>
      <c r="P76" s="2" t="str">
        <f>IF(Data!$S$3&lt;Engine!P$1,0,Data!J77)</f>
        <v/>
      </c>
      <c r="Q76" s="11" t="str">
        <f>IF(Data!B77=1,Data!K77,"No Tips")</f>
        <v>No Tips</v>
      </c>
      <c r="R76" s="2" t="str">
        <f>Data!L77</f>
        <v/>
      </c>
      <c r="S76" s="2" t="str">
        <f>Data!M77</f>
        <v/>
      </c>
      <c r="T76" s="1" t="str">
        <f>IF(I76="","",COUNTIF('Live Ladder'!P:P,I76)+COUNTIF('Live Ladder'!P:P,J76)+COUNTIF('Live Ladder'!P:P,K76)+COUNTIF('Live Ladder'!P:P,L76)+COUNTIF('Live Ladder'!P:P,M76)+COUNTIF('Live Ladder'!P:P,N76)+COUNTIF('Live Ladder'!P:P,O76)+COUNTIF('Live Ladder'!P:P,P76))</f>
        <v/>
      </c>
      <c r="U76" s="1" t="str">
        <f>IF(I76="","",IF(COUNTIF('Live Ladder'!P:P,Engine!Q76)=1,2,IF(COUNTIF('Live Ladder'!Q:Q,Engine!Q76)=1,-2,0)))</f>
        <v/>
      </c>
      <c r="V76" s="1" t="str">
        <f>IF(I76="","",IF(T76=Data!S$3,2,0))</f>
        <v/>
      </c>
      <c r="W76" s="1">
        <f t="shared" si="24"/>
        <v>-2</v>
      </c>
      <c r="X76" s="1">
        <f>IF(I76="",AE$2,IF(I76='Live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28</v>
      </c>
      <c r="Y76" t="str">
        <f t="shared" si="15"/>
        <v/>
      </c>
      <c r="Z76" t="str">
        <f t="shared" si="25"/>
        <v/>
      </c>
      <c r="AA76" s="111" t="str">
        <f t="shared" si="26"/>
        <v/>
      </c>
      <c r="AB76" t="str">
        <f t="shared" si="20"/>
        <v/>
      </c>
      <c r="AC76" t="str">
        <f>IF(I76="","",IF(I76='Live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
      </c>
      <c r="AF76" t="str">
        <f>IF(I76="","",IF(Q76="",0,IF(AND(Q76&gt;0,COUNTIF('Stats Calculator'!$T$24:$AA$24,Q76)=1),HLOOKUP(Q76,'Stats Calculator'!$T$24:$AA$27,4,FALSE),IF(AND(Q76&gt;0,COUNTIF('Stats Calculator'!$T$25:$AA$25,Q76)=1),HLOOKUP(Q76,'Stats Calculator'!$T$25:$AA$27,3,FALSE)))))</f>
        <v/>
      </c>
      <c r="AG76" t="str">
        <f>IF(I76="","",COUNTIF(I76,'Stats Calculator'!E$31)+COUNTIF(J76,'Stats Calculator'!E$32)+COUNTIF(K76,'Stats Calculator'!E$33)+COUNTIF(L76,'Stats Calculator'!E$34)+COUNTIF(M76,'Stats Calculator'!E$35)+COUNTIF(N76,'Stats Calculator'!E$36)+COUNTIF(O76,'Stats Calculator'!E$37)+COUNTIF(P76,'Stats Calculator'!E$38)-8+Data!S$3)</f>
        <v/>
      </c>
      <c r="AH76" t="str">
        <f>IF(I76="","",IF(Q76="",0,IF(Q76=0,0,IF(VLOOKUP(Engine!AF76,'Stats Calculator'!B$31:E$38,4,FALSE)="",0,IF(VLOOKUP(Engine!AF76,'Stats Calculator'!B$31:E$38,4,FALSE)=Q76,2,-2)))))</f>
        <v/>
      </c>
      <c r="AI76" t="str">
        <f>IF(I76="","",Data!S$3-COUNTA('Stats Calculator'!E$31:E$38))</f>
        <v/>
      </c>
      <c r="AJ76" t="str">
        <f>IF(I76="","",IF(AF76=0,0,IF(VLOOKUP(AF76,'Stats Calculator'!B$31:E$38,4,FALSE)&gt;0,0,2)))</f>
        <v/>
      </c>
      <c r="AK76" t="str">
        <f>IF(I76="","",IF(Data!S$3-Engine!AI76=AG76,2,0))</f>
        <v/>
      </c>
      <c r="AL76" t="str">
        <f t="shared" si="27"/>
        <v/>
      </c>
    </row>
    <row r="77" spans="1:38" x14ac:dyDescent="0.35">
      <c r="A77">
        <v>76</v>
      </c>
      <c r="B77" t="str">
        <f t="shared" si="18"/>
        <v/>
      </c>
      <c r="C77" s="111" t="str">
        <f t="shared" si="21"/>
        <v/>
      </c>
      <c r="D77" t="str">
        <f t="shared" si="19"/>
        <v/>
      </c>
      <c r="E77" s="3" t="str">
        <f t="shared" si="22"/>
        <v/>
      </c>
      <c r="F77" t="str">
        <f t="shared" si="23"/>
        <v/>
      </c>
      <c r="G77">
        <v>18</v>
      </c>
      <c r="H77" t="str">
        <f>Data!A78</f>
        <v>ZZZZZZ Suspend</v>
      </c>
      <c r="I77" s="2" t="str">
        <f>Data!C78</f>
        <v/>
      </c>
      <c r="J77" s="2" t="str">
        <f>Data!D78</f>
        <v/>
      </c>
      <c r="K77" s="2" t="str">
        <f>Data!E78</f>
        <v/>
      </c>
      <c r="L77" s="2" t="str">
        <f>IF(Data!$S$3&lt;Engine!L$1,0,Data!F78)</f>
        <v/>
      </c>
      <c r="M77" s="2" t="str">
        <f>IF(Data!$S$3&lt;Engine!M$1,0,Data!G78)</f>
        <v/>
      </c>
      <c r="N77" s="2" t="str">
        <f>IF(Data!$S$3&lt;Engine!N$1,0,Data!H78)</f>
        <v/>
      </c>
      <c r="O77" s="2" t="str">
        <f>IF(Data!$S$3&lt;Engine!O$1,0,Data!I78)</f>
        <v/>
      </c>
      <c r="P77" s="2" t="str">
        <f>IF(Data!$S$3&lt;Engine!P$1,0,Data!J78)</f>
        <v/>
      </c>
      <c r="Q77" s="11" t="str">
        <f>IF(Data!B78=1,Data!K78,"No Tips")</f>
        <v>No Tips</v>
      </c>
      <c r="R77" s="2" t="str">
        <f>Data!L78</f>
        <v/>
      </c>
      <c r="S77" s="2" t="str">
        <f>Data!M78</f>
        <v/>
      </c>
      <c r="T77" s="1" t="str">
        <f>IF(I77="","",COUNTIF('Live Ladder'!P:P,I77)+COUNTIF('Live Ladder'!P:P,J77)+COUNTIF('Live Ladder'!P:P,K77)+COUNTIF('Live Ladder'!P:P,L77)+COUNTIF('Live Ladder'!P:P,M77)+COUNTIF('Live Ladder'!P:P,N77)+COUNTIF('Live Ladder'!P:P,O77)+COUNTIF('Live Ladder'!P:P,P77))</f>
        <v/>
      </c>
      <c r="U77" s="1" t="str">
        <f>IF(I77="","",IF(COUNTIF('Live Ladder'!P:P,Engine!Q77)=1,2,IF(COUNTIF('Live Ladder'!Q:Q,Engine!Q77)=1,-2,0)))</f>
        <v/>
      </c>
      <c r="V77" s="1" t="str">
        <f>IF(I77="","",IF(T77=Data!S$3,2,0))</f>
        <v/>
      </c>
      <c r="W77" s="1">
        <f t="shared" si="24"/>
        <v>-2</v>
      </c>
      <c r="X77" s="1">
        <f>IF(I77="",AE$2,IF(I77='Live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28</v>
      </c>
      <c r="Y77" t="str">
        <f t="shared" si="15"/>
        <v/>
      </c>
      <c r="Z77" t="str">
        <f t="shared" si="25"/>
        <v/>
      </c>
      <c r="AA77" s="111" t="str">
        <f t="shared" si="26"/>
        <v/>
      </c>
      <c r="AB77" t="str">
        <f t="shared" si="20"/>
        <v/>
      </c>
      <c r="AC77" t="str">
        <f>IF(I77="","",IF(I77='Live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
      </c>
      <c r="AF77" t="str">
        <f>IF(I77="","",IF(Q77="",0,IF(AND(Q77&gt;0,COUNTIF('Stats Calculator'!$T$24:$AA$24,Q77)=1),HLOOKUP(Q77,'Stats Calculator'!$T$24:$AA$27,4,FALSE),IF(AND(Q77&gt;0,COUNTIF('Stats Calculator'!$T$25:$AA$25,Q77)=1),HLOOKUP(Q77,'Stats Calculator'!$T$25:$AA$27,3,FALSE)))))</f>
        <v/>
      </c>
      <c r="AG77" t="str">
        <f>IF(I77="","",COUNTIF(I77,'Stats Calculator'!E$31)+COUNTIF(J77,'Stats Calculator'!E$32)+COUNTIF(K77,'Stats Calculator'!E$33)+COUNTIF(L77,'Stats Calculator'!E$34)+COUNTIF(M77,'Stats Calculator'!E$35)+COUNTIF(N77,'Stats Calculator'!E$36)+COUNTIF(O77,'Stats Calculator'!E$37)+COUNTIF(P77,'Stats Calculator'!E$38)-8+Data!S$3)</f>
        <v/>
      </c>
      <c r="AH77" t="str">
        <f>IF(I77="","",IF(Q77="",0,IF(Q77=0,0,IF(VLOOKUP(Engine!AF77,'Stats Calculator'!B$31:E$38,4,FALSE)="",0,IF(VLOOKUP(Engine!AF77,'Stats Calculator'!B$31:E$38,4,FALSE)=Q77,2,-2)))))</f>
        <v/>
      </c>
      <c r="AI77" t="str">
        <f>IF(I77="","",Data!S$3-COUNTA('Stats Calculator'!E$31:E$38))</f>
        <v/>
      </c>
      <c r="AJ77" t="str">
        <f>IF(I77="","",IF(AF77=0,0,IF(VLOOKUP(AF77,'Stats Calculator'!B$31:E$38,4,FALSE)&gt;0,0,2)))</f>
        <v/>
      </c>
      <c r="AK77" t="str">
        <f>IF(I77="","",IF(Data!S$3-Engine!AI77=AG77,2,0))</f>
        <v/>
      </c>
      <c r="AL77" t="str">
        <f t="shared" si="27"/>
        <v/>
      </c>
    </row>
    <row r="78" spans="1:38" x14ac:dyDescent="0.35">
      <c r="A78">
        <v>77</v>
      </c>
      <c r="B78" t="str">
        <f t="shared" si="18"/>
        <v/>
      </c>
      <c r="C78" s="111" t="str">
        <f t="shared" si="21"/>
        <v/>
      </c>
      <c r="D78" t="str">
        <f t="shared" si="19"/>
        <v/>
      </c>
      <c r="E78" s="3" t="str">
        <f t="shared" si="22"/>
        <v/>
      </c>
      <c r="F78" t="str">
        <f t="shared" si="23"/>
        <v/>
      </c>
      <c r="G78">
        <v>17</v>
      </c>
      <c r="H78" t="str">
        <f>Data!A79</f>
        <v>ZZZZZZ Suspend</v>
      </c>
      <c r="I78" s="2" t="str">
        <f>Data!C79</f>
        <v/>
      </c>
      <c r="J78" s="2" t="str">
        <f>Data!D79</f>
        <v/>
      </c>
      <c r="K78" s="2" t="str">
        <f>Data!E79</f>
        <v/>
      </c>
      <c r="L78" s="2" t="str">
        <f>IF(Data!$S$3&lt;Engine!L$1,0,Data!F79)</f>
        <v/>
      </c>
      <c r="M78" s="2" t="str">
        <f>IF(Data!$S$3&lt;Engine!M$1,0,Data!G79)</f>
        <v/>
      </c>
      <c r="N78" s="2" t="str">
        <f>IF(Data!$S$3&lt;Engine!N$1,0,Data!H79)</f>
        <v/>
      </c>
      <c r="O78" s="2" t="str">
        <f>IF(Data!$S$3&lt;Engine!O$1,0,Data!I79)</f>
        <v/>
      </c>
      <c r="P78" s="2" t="str">
        <f>IF(Data!$S$3&lt;Engine!P$1,0,Data!J79)</f>
        <v/>
      </c>
      <c r="Q78" s="11" t="str">
        <f>IF(Data!B79=1,Data!K79,"No Tips")</f>
        <v>No Tips</v>
      </c>
      <c r="R78" s="2" t="str">
        <f>Data!L79</f>
        <v/>
      </c>
      <c r="S78" s="2" t="str">
        <f>Data!M79</f>
        <v/>
      </c>
      <c r="T78" s="1" t="str">
        <f>IF(I78="","",COUNTIF('Live Ladder'!P:P,I78)+COUNTIF('Live Ladder'!P:P,J78)+COUNTIF('Live Ladder'!P:P,K78)+COUNTIF('Live Ladder'!P:P,L78)+COUNTIF('Live Ladder'!P:P,M78)+COUNTIF('Live Ladder'!P:P,N78)+COUNTIF('Live Ladder'!P:P,O78)+COUNTIF('Live Ladder'!P:P,P78))</f>
        <v/>
      </c>
      <c r="U78" s="1" t="str">
        <f>IF(I78="","",IF(COUNTIF('Live Ladder'!P:P,Engine!Q78)=1,2,IF(COUNTIF('Live Ladder'!Q:Q,Engine!Q78)=1,-2,0)))</f>
        <v/>
      </c>
      <c r="V78" s="1" t="str">
        <f>IF(I78="","",IF(T78=Data!S$3,2,0))</f>
        <v/>
      </c>
      <c r="W78" s="1">
        <f t="shared" si="24"/>
        <v>-2</v>
      </c>
      <c r="X78" s="1">
        <f>IF(I78="",AE$2,IF(I78='Live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28</v>
      </c>
      <c r="Y78" t="str">
        <f t="shared" si="15"/>
        <v/>
      </c>
      <c r="Z78" t="str">
        <f t="shared" si="25"/>
        <v/>
      </c>
      <c r="AA78" s="111" t="str">
        <f t="shared" si="26"/>
        <v/>
      </c>
      <c r="AB78" t="str">
        <f t="shared" si="20"/>
        <v/>
      </c>
      <c r="AC78" t="str">
        <f>IF(I78="","",IF(I78='Live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
      </c>
      <c r="AF78" t="str">
        <f>IF(I78="","",IF(Q78="",0,IF(AND(Q78&gt;0,COUNTIF('Stats Calculator'!$T$24:$AA$24,Q78)=1),HLOOKUP(Q78,'Stats Calculator'!$T$24:$AA$27,4,FALSE),IF(AND(Q78&gt;0,COUNTIF('Stats Calculator'!$T$25:$AA$25,Q78)=1),HLOOKUP(Q78,'Stats Calculator'!$T$25:$AA$27,3,FALSE)))))</f>
        <v/>
      </c>
      <c r="AG78" t="str">
        <f>IF(I78="","",COUNTIF(I78,'Stats Calculator'!E$31)+COUNTIF(J78,'Stats Calculator'!E$32)+COUNTIF(K78,'Stats Calculator'!E$33)+COUNTIF(L78,'Stats Calculator'!E$34)+COUNTIF(M78,'Stats Calculator'!E$35)+COUNTIF(N78,'Stats Calculator'!E$36)+COUNTIF(O78,'Stats Calculator'!E$37)+COUNTIF(P78,'Stats Calculator'!E$38)-8+Data!S$3)</f>
        <v/>
      </c>
      <c r="AH78" t="str">
        <f>IF(I78="","",IF(Q78="",0,IF(Q78=0,0,IF(VLOOKUP(Engine!AF78,'Stats Calculator'!B$31:E$38,4,FALSE)="",0,IF(VLOOKUP(Engine!AF78,'Stats Calculator'!B$31:E$38,4,FALSE)=Q78,2,-2)))))</f>
        <v/>
      </c>
      <c r="AI78" t="str">
        <f>IF(I78="","",Data!S$3-COUNTA('Stats Calculator'!E$31:E$38))</f>
        <v/>
      </c>
      <c r="AJ78" t="str">
        <f>IF(I78="","",IF(AF78=0,0,IF(VLOOKUP(AF78,'Stats Calculator'!B$31:E$38,4,FALSE)&gt;0,0,2)))</f>
        <v/>
      </c>
      <c r="AK78" t="str">
        <f>IF(I78="","",IF(Data!S$3-Engine!AI78=AG78,2,0))</f>
        <v/>
      </c>
      <c r="AL78" t="str">
        <f t="shared" si="27"/>
        <v/>
      </c>
    </row>
    <row r="79" spans="1:38" x14ac:dyDescent="0.35">
      <c r="A79">
        <v>78</v>
      </c>
      <c r="B79" t="str">
        <f t="shared" si="18"/>
        <v/>
      </c>
      <c r="C79" s="111" t="str">
        <f t="shared" si="21"/>
        <v/>
      </c>
      <c r="D79" t="str">
        <f t="shared" si="19"/>
        <v/>
      </c>
      <c r="E79" s="3" t="str">
        <f t="shared" si="22"/>
        <v/>
      </c>
      <c r="F79" t="str">
        <f t="shared" si="23"/>
        <v/>
      </c>
      <c r="G79">
        <v>12</v>
      </c>
      <c r="H79" t="str">
        <f>Data!A84</f>
        <v>ZZZZZZ Suspend</v>
      </c>
      <c r="I79" s="2" t="str">
        <f>Data!C84</f>
        <v/>
      </c>
      <c r="J79" s="2" t="str">
        <f>Data!D84</f>
        <v/>
      </c>
      <c r="K79" s="2" t="str">
        <f>Data!E84</f>
        <v/>
      </c>
      <c r="L79" s="2" t="str">
        <f>IF(Data!$S$3&lt;Engine!L$1,0,Data!F84)</f>
        <v/>
      </c>
      <c r="M79" s="2" t="str">
        <f>IF(Data!$S$3&lt;Engine!M$1,0,Data!G84)</f>
        <v/>
      </c>
      <c r="N79" s="2" t="str">
        <f>IF(Data!$S$3&lt;Engine!N$1,0,Data!H84)</f>
        <v/>
      </c>
      <c r="O79" s="2" t="str">
        <f>IF(Data!$S$3&lt;Engine!O$1,0,Data!I84)</f>
        <v/>
      </c>
      <c r="P79" s="2" t="str">
        <f>IF(Data!$S$3&lt;Engine!P$1,0,Data!J84)</f>
        <v/>
      </c>
      <c r="Q79" s="11" t="str">
        <f>IF(Data!B84=1,Data!K84,"No Tips")</f>
        <v>No Tips</v>
      </c>
      <c r="R79" s="2" t="str">
        <f>Data!L84</f>
        <v/>
      </c>
      <c r="S79" s="2" t="str">
        <f>Data!M84</f>
        <v/>
      </c>
      <c r="T79" s="1" t="str">
        <f>IF(I79="","",COUNTIF('Live Ladder'!P:P,I79)+COUNTIF('Live Ladder'!P:P,J79)+COUNTIF('Live Ladder'!P:P,K79)+COUNTIF('Live Ladder'!P:P,L79)+COUNTIF('Live Ladder'!P:P,M79)+COUNTIF('Live Ladder'!P:P,N79)+COUNTIF('Live Ladder'!P:P,O79)+COUNTIF('Live Ladder'!P:P,P79))</f>
        <v/>
      </c>
      <c r="U79" s="1" t="str">
        <f>IF(I79="","",IF(COUNTIF('Live Ladder'!P:P,Engine!Q79)=1,2,IF(COUNTIF('Live Ladder'!Q:Q,Engine!Q79)=1,-2,0)))</f>
        <v/>
      </c>
      <c r="V79" s="1" t="str">
        <f>IF(I79="","",IF(T79=Data!S$3,2,0))</f>
        <v/>
      </c>
      <c r="W79" s="1">
        <f t="shared" si="24"/>
        <v>-2</v>
      </c>
      <c r="X79" s="1">
        <f>IF(I79="",AE$2,IF(I79='Live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28</v>
      </c>
      <c r="Y79" t="str">
        <f t="shared" si="15"/>
        <v/>
      </c>
      <c r="Z79" t="str">
        <f t="shared" si="25"/>
        <v/>
      </c>
      <c r="AA79" s="111" t="str">
        <f t="shared" si="26"/>
        <v/>
      </c>
      <c r="AB79" t="str">
        <f t="shared" si="20"/>
        <v/>
      </c>
      <c r="AC79" t="str">
        <f>IF(I79="","",IF(I79='Live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
      </c>
      <c r="AF79" t="str">
        <f>IF(I79="","",IF(Q79="",0,IF(AND(Q79&gt;0,COUNTIF('Stats Calculator'!$T$24:$AA$24,Q79)=1),HLOOKUP(Q79,'Stats Calculator'!$T$24:$AA$27,4,FALSE),IF(AND(Q79&gt;0,COUNTIF('Stats Calculator'!$T$25:$AA$25,Q79)=1),HLOOKUP(Q79,'Stats Calculator'!$T$25:$AA$27,3,FALSE)))))</f>
        <v/>
      </c>
      <c r="AG79" t="str">
        <f>IF(I79="","",COUNTIF(I79,'Stats Calculator'!E$31)+COUNTIF(J79,'Stats Calculator'!E$32)+COUNTIF(K79,'Stats Calculator'!E$33)+COUNTIF(L79,'Stats Calculator'!E$34)+COUNTIF(M79,'Stats Calculator'!E$35)+COUNTIF(N79,'Stats Calculator'!E$36)+COUNTIF(O79,'Stats Calculator'!E$37)+COUNTIF(P79,'Stats Calculator'!E$38)-8+Data!S$3)</f>
        <v/>
      </c>
      <c r="AH79" t="str">
        <f>IF(I79="","",IF(Q79="",0,IF(Q79=0,0,IF(VLOOKUP(Engine!AF79,'Stats Calculator'!B$31:E$38,4,FALSE)="",0,IF(VLOOKUP(Engine!AF79,'Stats Calculator'!B$31:E$38,4,FALSE)=Q79,2,-2)))))</f>
        <v/>
      </c>
      <c r="AI79" t="str">
        <f>IF(I79="","",Data!S$3-COUNTA('Stats Calculator'!E$31:E$38))</f>
        <v/>
      </c>
      <c r="AJ79" t="str">
        <f>IF(I79="","",IF(AF79=0,0,IF(VLOOKUP(AF79,'Stats Calculator'!B$31:E$38,4,FALSE)&gt;0,0,2)))</f>
        <v/>
      </c>
      <c r="AK79" t="str">
        <f>IF(I79="","",IF(Data!S$3-Engine!AI79=AG79,2,0))</f>
        <v/>
      </c>
      <c r="AL79" t="str">
        <f t="shared" si="27"/>
        <v/>
      </c>
    </row>
    <row r="80" spans="1:38" x14ac:dyDescent="0.35">
      <c r="A80">
        <v>79</v>
      </c>
      <c r="B80" t="str">
        <f t="shared" si="18"/>
        <v/>
      </c>
      <c r="C80" s="111" t="str">
        <f t="shared" si="21"/>
        <v/>
      </c>
      <c r="D80" t="str">
        <f t="shared" si="19"/>
        <v/>
      </c>
      <c r="E80" s="3" t="str">
        <f t="shared" si="22"/>
        <v/>
      </c>
      <c r="F80" t="str">
        <f t="shared" si="23"/>
        <v/>
      </c>
      <c r="G80">
        <v>15</v>
      </c>
      <c r="H80" t="str">
        <f>Data!A81</f>
        <v>ZZZZZZ Suspend</v>
      </c>
      <c r="I80" s="2" t="str">
        <f>Data!C81</f>
        <v/>
      </c>
      <c r="J80" s="2" t="str">
        <f>Data!D81</f>
        <v/>
      </c>
      <c r="K80" s="2" t="str">
        <f>Data!E81</f>
        <v/>
      </c>
      <c r="L80" s="2" t="str">
        <f>IF(Data!$S$3&lt;Engine!L$1,0,Data!F81)</f>
        <v/>
      </c>
      <c r="M80" s="2" t="str">
        <f>IF(Data!$S$3&lt;Engine!M$1,0,Data!G81)</f>
        <v/>
      </c>
      <c r="N80" s="2" t="str">
        <f>IF(Data!$S$3&lt;Engine!N$1,0,Data!H81)</f>
        <v/>
      </c>
      <c r="O80" s="2" t="str">
        <f>IF(Data!$S$3&lt;Engine!O$1,0,Data!I81)</f>
        <v/>
      </c>
      <c r="P80" s="2" t="str">
        <f>IF(Data!$S$3&lt;Engine!P$1,0,Data!J81)</f>
        <v/>
      </c>
      <c r="Q80" s="11" t="str">
        <f>IF(Data!B81=1,Data!K81,"No Tips")</f>
        <v>No Tips</v>
      </c>
      <c r="R80" s="2" t="str">
        <f>Data!L81</f>
        <v/>
      </c>
      <c r="S80" s="2" t="str">
        <f>Data!M81</f>
        <v/>
      </c>
      <c r="T80" s="1" t="str">
        <f>IF(I80="","",COUNTIF('Live Ladder'!P:P,I80)+COUNTIF('Live Ladder'!P:P,J80)+COUNTIF('Live Ladder'!P:P,K80)+COUNTIF('Live Ladder'!P:P,L80)+COUNTIF('Live Ladder'!P:P,M80)+COUNTIF('Live Ladder'!P:P,N80)+COUNTIF('Live Ladder'!P:P,O80)+COUNTIF('Live Ladder'!P:P,P80))</f>
        <v/>
      </c>
      <c r="U80" s="1" t="str">
        <f>IF(I80="","",IF(COUNTIF('Live Ladder'!P:P,Engine!Q80)=1,2,IF(COUNTIF('Live Ladder'!Q:Q,Engine!Q80)=1,-2,0)))</f>
        <v/>
      </c>
      <c r="V80" s="1" t="str">
        <f>IF(I80="","",IF(T80=Data!S$3,2,0))</f>
        <v/>
      </c>
      <c r="W80" s="1">
        <f t="shared" si="24"/>
        <v>-2</v>
      </c>
      <c r="X80" s="1">
        <f>IF(I80="",AE$2,IF(I80='Live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28</v>
      </c>
      <c r="Y80" t="str">
        <f t="shared" si="15"/>
        <v/>
      </c>
      <c r="Z80" t="str">
        <f t="shared" si="25"/>
        <v/>
      </c>
      <c r="AA80" s="111" t="str">
        <f t="shared" si="26"/>
        <v/>
      </c>
      <c r="AB80" t="str">
        <f t="shared" si="20"/>
        <v/>
      </c>
      <c r="AC80" t="str">
        <f>IF(I80="","",IF(I80='Live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
      </c>
      <c r="AD80" s="10"/>
      <c r="AE80" s="10"/>
      <c r="AF80" t="str">
        <f>IF(I80="","",IF(Q80="",0,IF(AND(Q80&gt;0,COUNTIF('Stats Calculator'!$T$24:$AA$24,Q80)=1),HLOOKUP(Q80,'Stats Calculator'!$T$24:$AA$27,4,FALSE),IF(AND(Q80&gt;0,COUNTIF('Stats Calculator'!$T$25:$AA$25,Q80)=1),HLOOKUP(Q80,'Stats Calculator'!$T$25:$AA$27,3,FALSE)))))</f>
        <v/>
      </c>
      <c r="AG80" t="str">
        <f>IF(I80="","",COUNTIF(I80,'Stats Calculator'!E$31)+COUNTIF(J80,'Stats Calculator'!E$32)+COUNTIF(K80,'Stats Calculator'!E$33)+COUNTIF(L80,'Stats Calculator'!E$34)+COUNTIF(M80,'Stats Calculator'!E$35)+COUNTIF(N80,'Stats Calculator'!E$36)+COUNTIF(O80,'Stats Calculator'!E$37)+COUNTIF(P80,'Stats Calculator'!E$38)-8+Data!S$3)</f>
        <v/>
      </c>
      <c r="AH80" t="str">
        <f>IF(I80="","",IF(Q80="",0,IF(Q80=0,0,IF(VLOOKUP(Engine!AF80,'Stats Calculator'!B$31:E$38,4,FALSE)="",0,IF(VLOOKUP(Engine!AF80,'Stats Calculator'!B$31:E$38,4,FALSE)=Q80,2,-2)))))</f>
        <v/>
      </c>
      <c r="AI80" t="str">
        <f>IF(I80="","",Data!S$3-COUNTA('Stats Calculator'!E$31:E$38))</f>
        <v/>
      </c>
      <c r="AJ80" t="str">
        <f>IF(I80="","",IF(AF80=0,0,IF(VLOOKUP(AF80,'Stats Calculator'!B$31:E$38,4,FALSE)&gt;0,0,2)))</f>
        <v/>
      </c>
      <c r="AK80" t="str">
        <f>IF(I80="","",IF(Data!S$3-Engine!AI80=AG80,2,0))</f>
        <v/>
      </c>
      <c r="AL80" t="str">
        <f t="shared" si="27"/>
        <v/>
      </c>
    </row>
    <row r="81" spans="1:38" x14ac:dyDescent="0.35">
      <c r="A81">
        <v>80</v>
      </c>
      <c r="B81" t="str">
        <f t="shared" si="18"/>
        <v/>
      </c>
      <c r="C81" s="111" t="str">
        <f t="shared" si="21"/>
        <v/>
      </c>
      <c r="D81" t="str">
        <f t="shared" si="19"/>
        <v/>
      </c>
      <c r="E81" s="3" t="str">
        <f t="shared" si="22"/>
        <v/>
      </c>
      <c r="F81" t="str">
        <f t="shared" si="23"/>
        <v/>
      </c>
      <c r="G81">
        <v>11</v>
      </c>
      <c r="H81" t="str">
        <f>Data!A85</f>
        <v>ZZZZZZ Suspend</v>
      </c>
      <c r="I81" s="2" t="str">
        <f>Data!C85</f>
        <v/>
      </c>
      <c r="J81" s="2" t="str">
        <f>Data!D85</f>
        <v/>
      </c>
      <c r="K81" s="2" t="str">
        <f>Data!E85</f>
        <v/>
      </c>
      <c r="L81" s="2" t="str">
        <f>IF(Data!$S$3&lt;Engine!L$1,0,Data!F85)</f>
        <v/>
      </c>
      <c r="M81" s="2" t="str">
        <f>IF(Data!$S$3&lt;Engine!M$1,0,Data!G85)</f>
        <v/>
      </c>
      <c r="N81" s="2" t="str">
        <f>IF(Data!$S$3&lt;Engine!N$1,0,Data!H85)</f>
        <v/>
      </c>
      <c r="O81" s="2" t="str">
        <f>IF(Data!$S$3&lt;Engine!O$1,0,Data!I85)</f>
        <v/>
      </c>
      <c r="P81" s="2" t="str">
        <f>IF(Data!$S$3&lt;Engine!P$1,0,Data!J85)</f>
        <v/>
      </c>
      <c r="Q81" s="11" t="str">
        <f>IF(Data!B85=1,Data!K85,"No Tips")</f>
        <v>No Tips</v>
      </c>
      <c r="R81" s="2" t="str">
        <f>Data!L85</f>
        <v/>
      </c>
      <c r="S81" s="2" t="str">
        <f>Data!M85</f>
        <v/>
      </c>
      <c r="T81" s="1" t="str">
        <f>IF(I81="","",COUNTIF('Live Ladder'!P:P,I81)+COUNTIF('Live Ladder'!P:P,J81)+COUNTIF('Live Ladder'!P:P,K81)+COUNTIF('Live Ladder'!P:P,L81)+COUNTIF('Live Ladder'!P:P,M81)+COUNTIF('Live Ladder'!P:P,N81)+COUNTIF('Live Ladder'!P:P,O81)+COUNTIF('Live Ladder'!P:P,P81))</f>
        <v/>
      </c>
      <c r="U81" s="1" t="str">
        <f>IF(I81="","",IF(COUNTIF('Live Ladder'!P:P,Engine!Q81)=1,2,IF(COUNTIF('Live Ladder'!Q:Q,Engine!Q81)=1,-2,0)))</f>
        <v/>
      </c>
      <c r="V81" s="1" t="str">
        <f>IF(I81="","",IF(T81=Data!S$3,2,0))</f>
        <v/>
      </c>
      <c r="W81" s="1">
        <f t="shared" si="24"/>
        <v>-2</v>
      </c>
      <c r="X81" s="1">
        <f>IF(I81="",AE$2,IF(I81='Live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28</v>
      </c>
      <c r="Y81" t="str">
        <f t="shared" ref="Y81:Y85" si="28">IF(H81="ZZZZZZ Suspend","",R81+W81)</f>
        <v/>
      </c>
      <c r="Z81" t="str">
        <f t="shared" si="25"/>
        <v/>
      </c>
      <c r="AA81" s="111" t="str">
        <f t="shared" si="26"/>
        <v/>
      </c>
      <c r="AB81" t="str">
        <f t="shared" si="20"/>
        <v/>
      </c>
      <c r="AC81" t="str">
        <f>IF(I81="","",IF(I81='Live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
      </c>
      <c r="AF81" t="str">
        <f>IF(I81="","",IF(Q81="",0,IF(AND(Q81&gt;0,COUNTIF('Stats Calculator'!$T$24:$AA$24,Q81)=1),HLOOKUP(Q81,'Stats Calculator'!$T$24:$AA$27,4,FALSE),IF(AND(Q81&gt;0,COUNTIF('Stats Calculator'!$T$25:$AA$25,Q81)=1),HLOOKUP(Q81,'Stats Calculator'!$T$25:$AA$27,3,FALSE)))))</f>
        <v/>
      </c>
      <c r="AG81" t="str">
        <f>IF(I81="","",COUNTIF(I81,'Stats Calculator'!E$31)+COUNTIF(J81,'Stats Calculator'!E$32)+COUNTIF(K81,'Stats Calculator'!E$33)+COUNTIF(L81,'Stats Calculator'!E$34)+COUNTIF(M81,'Stats Calculator'!E$35)+COUNTIF(N81,'Stats Calculator'!E$36)+COUNTIF(O81,'Stats Calculator'!E$37)+COUNTIF(P81,'Stats Calculator'!E$38)-8+Data!S$3)</f>
        <v/>
      </c>
      <c r="AH81" t="str">
        <f>IF(I81="","",IF(Q81="",0,IF(Q81=0,0,IF(VLOOKUP(Engine!AF81,'Stats Calculator'!B$31:E$38,4,FALSE)="",0,IF(VLOOKUP(Engine!AF81,'Stats Calculator'!B$31:E$38,4,FALSE)=Q81,2,-2)))))</f>
        <v/>
      </c>
      <c r="AI81" t="str">
        <f>IF(I81="","",Data!S$3-COUNTA('Stats Calculator'!E$31:E$38))</f>
        <v/>
      </c>
      <c r="AJ81" t="str">
        <f>IF(I81="","",IF(AF81=0,0,IF(VLOOKUP(AF81,'Stats Calculator'!B$31:E$38,4,FALSE)&gt;0,0,2)))</f>
        <v/>
      </c>
      <c r="AK81" t="str">
        <f>IF(I81="","",IF(Data!S$3-Engine!AI81=AG81,2,0))</f>
        <v/>
      </c>
      <c r="AL81" t="str">
        <f t="shared" si="27"/>
        <v/>
      </c>
    </row>
    <row r="82" spans="1:38" x14ac:dyDescent="0.35">
      <c r="A82">
        <v>81</v>
      </c>
      <c r="B82" t="str">
        <f t="shared" si="18"/>
        <v/>
      </c>
      <c r="C82" s="111" t="str">
        <f t="shared" si="21"/>
        <v/>
      </c>
      <c r="D82" t="str">
        <f t="shared" si="19"/>
        <v/>
      </c>
      <c r="E82" s="3" t="str">
        <f t="shared" si="22"/>
        <v/>
      </c>
      <c r="F82" t="str">
        <f t="shared" si="23"/>
        <v/>
      </c>
      <c r="G82">
        <v>14</v>
      </c>
      <c r="H82" t="str">
        <f>Data!A82</f>
        <v>ZZZZZZ Suspend</v>
      </c>
      <c r="I82" s="2" t="str">
        <f>Data!C82</f>
        <v/>
      </c>
      <c r="J82" s="2" t="str">
        <f>Data!D82</f>
        <v/>
      </c>
      <c r="K82" s="2" t="str">
        <f>Data!E82</f>
        <v/>
      </c>
      <c r="L82" s="2" t="str">
        <f>IF(Data!$S$3&lt;Engine!L$1,0,Data!F82)</f>
        <v/>
      </c>
      <c r="M82" s="2" t="str">
        <f>IF(Data!$S$3&lt;Engine!M$1,0,Data!G82)</f>
        <v/>
      </c>
      <c r="N82" s="2" t="str">
        <f>IF(Data!$S$3&lt;Engine!N$1,0,Data!H82)</f>
        <v/>
      </c>
      <c r="O82" s="2" t="str">
        <f>IF(Data!$S$3&lt;Engine!O$1,0,Data!I82)</f>
        <v/>
      </c>
      <c r="P82" s="2" t="str">
        <f>IF(Data!$S$3&lt;Engine!P$1,0,Data!J82)</f>
        <v/>
      </c>
      <c r="Q82" s="11" t="str">
        <f>IF(Data!B82=1,Data!K82,"No Tips")</f>
        <v>No Tips</v>
      </c>
      <c r="R82" s="2" t="str">
        <f>Data!L82</f>
        <v/>
      </c>
      <c r="S82" s="2" t="str">
        <f>Data!M82</f>
        <v/>
      </c>
      <c r="T82" s="1" t="str">
        <f>IF(I82="","",COUNTIF('Live Ladder'!P:P,I82)+COUNTIF('Live Ladder'!P:P,J82)+COUNTIF('Live Ladder'!P:P,K82)+COUNTIF('Live Ladder'!P:P,L82)+COUNTIF('Live Ladder'!P:P,M82)+COUNTIF('Live Ladder'!P:P,N82)+COUNTIF('Live Ladder'!P:P,O82)+COUNTIF('Live Ladder'!P:P,P82))</f>
        <v/>
      </c>
      <c r="U82" s="1" t="str">
        <f>IF(I82="","",IF(COUNTIF('Live Ladder'!P:P,Engine!Q82)=1,2,IF(COUNTIF('Live Ladder'!Q:Q,Engine!Q82)=1,-2,0)))</f>
        <v/>
      </c>
      <c r="V82" s="1" t="str">
        <f>IF(I82="","",IF(T82=Data!S$3,2,0))</f>
        <v/>
      </c>
      <c r="W82" s="1">
        <f t="shared" si="24"/>
        <v>-2</v>
      </c>
      <c r="X82" s="1">
        <f>IF(I82="",AE$2,IF(I82='Live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28</v>
      </c>
      <c r="Y82" t="str">
        <f t="shared" si="28"/>
        <v/>
      </c>
      <c r="Z82" t="str">
        <f t="shared" si="25"/>
        <v/>
      </c>
      <c r="AA82" s="111" t="str">
        <f t="shared" si="26"/>
        <v/>
      </c>
      <c r="AB82" t="str">
        <f t="shared" si="20"/>
        <v/>
      </c>
      <c r="AC82" t="str">
        <f>IF(I82="","",IF(I82='Live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
      </c>
      <c r="AF82" t="str">
        <f>IF(I82="","",IF(Q82="",0,IF(AND(Q82&gt;0,COUNTIF('Stats Calculator'!$T$24:$AA$24,Q82)=1),HLOOKUP(Q82,'Stats Calculator'!$T$24:$AA$27,4,FALSE),IF(AND(Q82&gt;0,COUNTIF('Stats Calculator'!$T$25:$AA$25,Q82)=1),HLOOKUP(Q82,'Stats Calculator'!$T$25:$AA$27,3,FALSE)))))</f>
        <v/>
      </c>
      <c r="AG82" t="str">
        <f>IF(I82="","",COUNTIF(I82,'Stats Calculator'!E$31)+COUNTIF(J82,'Stats Calculator'!E$32)+COUNTIF(K82,'Stats Calculator'!E$33)+COUNTIF(L82,'Stats Calculator'!E$34)+COUNTIF(M82,'Stats Calculator'!E$35)+COUNTIF(N82,'Stats Calculator'!E$36)+COUNTIF(O82,'Stats Calculator'!E$37)+COUNTIF(P82,'Stats Calculator'!E$38)-8+Data!S$3)</f>
        <v/>
      </c>
      <c r="AH82" t="str">
        <f>IF(I82="","",IF(Q82="",0,IF(Q82=0,0,IF(VLOOKUP(Engine!AF82,'Stats Calculator'!B$31:E$38,4,FALSE)="",0,IF(VLOOKUP(Engine!AF82,'Stats Calculator'!B$31:E$38,4,FALSE)=Q82,2,-2)))))</f>
        <v/>
      </c>
      <c r="AI82" t="str">
        <f>IF(I82="","",Data!S$3-COUNTA('Stats Calculator'!E$31:E$38))</f>
        <v/>
      </c>
      <c r="AJ82" t="str">
        <f>IF(I82="","",IF(AF82=0,0,IF(VLOOKUP(AF82,'Stats Calculator'!B$31:E$38,4,FALSE)&gt;0,0,2)))</f>
        <v/>
      </c>
      <c r="AK82" t="str">
        <f>IF(I82="","",IF(Data!S$3-Engine!AI82=AG82,2,0))</f>
        <v/>
      </c>
      <c r="AL82" t="str">
        <f t="shared" si="27"/>
        <v/>
      </c>
    </row>
    <row r="83" spans="1:38" x14ac:dyDescent="0.35">
      <c r="A83">
        <v>82</v>
      </c>
      <c r="B83" t="str">
        <f t="shared" si="18"/>
        <v/>
      </c>
      <c r="C83" s="111" t="str">
        <f t="shared" si="21"/>
        <v/>
      </c>
      <c r="D83" t="str">
        <f t="shared" si="19"/>
        <v/>
      </c>
      <c r="E83" s="3" t="str">
        <f t="shared" si="22"/>
        <v/>
      </c>
      <c r="F83" t="str">
        <f t="shared" si="23"/>
        <v/>
      </c>
      <c r="G83">
        <v>16</v>
      </c>
      <c r="H83" t="str">
        <f>Data!A80</f>
        <v>ZZZZZZ Suspend</v>
      </c>
      <c r="I83" s="2" t="str">
        <f>Data!C80</f>
        <v/>
      </c>
      <c r="J83" s="2" t="str">
        <f>Data!D80</f>
        <v/>
      </c>
      <c r="K83" s="2" t="str">
        <f>Data!E80</f>
        <v/>
      </c>
      <c r="L83" s="2" t="str">
        <f>IF(Data!$S$3&lt;Engine!L$1,0,Data!F80)</f>
        <v/>
      </c>
      <c r="M83" s="2" t="str">
        <f>IF(Data!$S$3&lt;Engine!M$1,0,Data!G80)</f>
        <v/>
      </c>
      <c r="N83" s="2" t="str">
        <f>IF(Data!$S$3&lt;Engine!N$1,0,Data!H80)</f>
        <v/>
      </c>
      <c r="O83" s="2" t="str">
        <f>IF(Data!$S$3&lt;Engine!O$1,0,Data!I80)</f>
        <v/>
      </c>
      <c r="P83" s="2" t="str">
        <f>IF(Data!$S$3&lt;Engine!P$1,0,Data!J80)</f>
        <v/>
      </c>
      <c r="Q83" s="11" t="str">
        <f>IF(Data!B80=1,Data!K80,"No Tips")</f>
        <v>No Tips</v>
      </c>
      <c r="R83" s="2" t="str">
        <f>Data!L80</f>
        <v/>
      </c>
      <c r="S83" s="2" t="str">
        <f>Data!M80</f>
        <v/>
      </c>
      <c r="T83" s="1" t="str">
        <f>IF(I83="","",COUNTIF('Live Ladder'!P:P,I83)+COUNTIF('Live Ladder'!P:P,J83)+COUNTIF('Live Ladder'!P:P,K83)+COUNTIF('Live Ladder'!P:P,L83)+COUNTIF('Live Ladder'!P:P,M83)+COUNTIF('Live Ladder'!P:P,N83)+COUNTIF('Live Ladder'!P:P,O83)+COUNTIF('Live Ladder'!P:P,P83))</f>
        <v/>
      </c>
      <c r="U83" s="1" t="str">
        <f>IF(I83="","",IF(COUNTIF('Live Ladder'!P:P,Engine!Q83)=1,2,IF(COUNTIF('Live Ladder'!Q:Q,Engine!Q83)=1,-2,0)))</f>
        <v/>
      </c>
      <c r="V83" s="1" t="str">
        <f>IF(I83="","",IF(T83=Data!S$3,2,0))</f>
        <v/>
      </c>
      <c r="W83" s="1">
        <f t="shared" si="24"/>
        <v>-2</v>
      </c>
      <c r="X83" s="1">
        <f>IF(I83="",AE$2,IF(I83='Live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28</v>
      </c>
      <c r="Y83" t="str">
        <f t="shared" si="28"/>
        <v/>
      </c>
      <c r="Z83" t="str">
        <f t="shared" si="25"/>
        <v/>
      </c>
      <c r="AA83" s="111" t="str">
        <f t="shared" si="26"/>
        <v/>
      </c>
      <c r="AB83" t="str">
        <f t="shared" si="20"/>
        <v/>
      </c>
      <c r="AC83" t="str">
        <f>IF(I83="","",IF(I83='Live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
      </c>
      <c r="AF83" t="str">
        <f>IF(I83="","",IF(Q83="",0,IF(AND(Q83&gt;0,COUNTIF('Stats Calculator'!$T$24:$AA$24,Q83)=1),HLOOKUP(Q83,'Stats Calculator'!$T$24:$AA$27,4,FALSE),IF(AND(Q83&gt;0,COUNTIF('Stats Calculator'!$T$25:$AA$25,Q83)=1),HLOOKUP(Q83,'Stats Calculator'!$T$25:$AA$27,3,FALSE)))))</f>
        <v/>
      </c>
      <c r="AG83" t="str">
        <f>IF(I83="","",COUNTIF(I83,'Stats Calculator'!E$31)+COUNTIF(J83,'Stats Calculator'!E$32)+COUNTIF(K83,'Stats Calculator'!E$33)+COUNTIF(L83,'Stats Calculator'!E$34)+COUNTIF(M83,'Stats Calculator'!E$35)+COUNTIF(N83,'Stats Calculator'!E$36)+COUNTIF(O83,'Stats Calculator'!E$37)+COUNTIF(P83,'Stats Calculator'!E$38)-8+Data!S$3)</f>
        <v/>
      </c>
      <c r="AH83" t="str">
        <f>IF(I83="","",IF(Q83="",0,IF(Q83=0,0,IF(VLOOKUP(Engine!AF83,'Stats Calculator'!B$31:E$38,4,FALSE)="",0,IF(VLOOKUP(Engine!AF83,'Stats Calculator'!B$31:E$38,4,FALSE)=Q83,2,-2)))))</f>
        <v/>
      </c>
      <c r="AI83" t="str">
        <f>IF(I83="","",Data!S$3-COUNTA('Stats Calculator'!E$31:E$38))</f>
        <v/>
      </c>
      <c r="AJ83" t="str">
        <f>IF(I83="","",IF(AF83=0,0,IF(VLOOKUP(AF83,'Stats Calculator'!B$31:E$38,4,FALSE)&gt;0,0,2)))</f>
        <v/>
      </c>
      <c r="AK83" t="str">
        <f>IF(I83="","",IF(Data!S$3-Engine!AI83=AG83,2,0))</f>
        <v/>
      </c>
      <c r="AL83" t="str">
        <f t="shared" si="27"/>
        <v/>
      </c>
    </row>
    <row r="84" spans="1:38" x14ac:dyDescent="0.35">
      <c r="A84">
        <v>83</v>
      </c>
      <c r="B84" t="str">
        <f t="shared" si="18"/>
        <v/>
      </c>
      <c r="C84" s="111" t="str">
        <f t="shared" si="21"/>
        <v/>
      </c>
      <c r="D84" t="str">
        <f t="shared" si="19"/>
        <v/>
      </c>
      <c r="E84" s="3" t="str">
        <f t="shared" si="22"/>
        <v/>
      </c>
      <c r="F84" t="str">
        <f t="shared" si="23"/>
        <v/>
      </c>
      <c r="G84">
        <v>13</v>
      </c>
      <c r="H84" t="str">
        <f>Data!A83</f>
        <v>ZZZZZZ Suspend</v>
      </c>
      <c r="I84" s="2" t="str">
        <f>Data!C83</f>
        <v/>
      </c>
      <c r="J84" s="2" t="str">
        <f>Data!D83</f>
        <v/>
      </c>
      <c r="K84" s="2" t="str">
        <f>Data!E83</f>
        <v/>
      </c>
      <c r="L84" s="2" t="str">
        <f>IF(Data!$S$3&lt;Engine!L$1,0,Data!F83)</f>
        <v/>
      </c>
      <c r="M84" s="2" t="str">
        <f>IF(Data!$S$3&lt;Engine!M$1,0,Data!G83)</f>
        <v/>
      </c>
      <c r="N84" s="2" t="str">
        <f>IF(Data!$S$3&lt;Engine!N$1,0,Data!H83)</f>
        <v/>
      </c>
      <c r="O84" s="2" t="str">
        <f>IF(Data!$S$3&lt;Engine!O$1,0,Data!I83)</f>
        <v/>
      </c>
      <c r="P84" s="2" t="str">
        <f>IF(Data!$S$3&lt;Engine!P$1,0,Data!J83)</f>
        <v/>
      </c>
      <c r="Q84" s="11" t="str">
        <f>IF(Data!B83=1,Data!K83,"No Tips")</f>
        <v>No Tips</v>
      </c>
      <c r="R84" s="2" t="str">
        <f>Data!L83</f>
        <v/>
      </c>
      <c r="S84" s="2" t="str">
        <f>Data!M83</f>
        <v/>
      </c>
      <c r="T84" s="1" t="str">
        <f>IF(I84="","",COUNTIF('Live Ladder'!P:P,I84)+COUNTIF('Live Ladder'!P:P,J84)+COUNTIF('Live Ladder'!P:P,K84)+COUNTIF('Live Ladder'!P:P,L84)+COUNTIF('Live Ladder'!P:P,M84)+COUNTIF('Live Ladder'!P:P,N84)+COUNTIF('Live Ladder'!P:P,O84)+COUNTIF('Live Ladder'!P:P,P84))</f>
        <v/>
      </c>
      <c r="U84" s="1" t="str">
        <f>IF(I84="","",IF(COUNTIF('Live Ladder'!P:P,Engine!Q84)=1,2,IF(COUNTIF('Live Ladder'!Q:Q,Engine!Q84)=1,-2,0)))</f>
        <v/>
      </c>
      <c r="V84" s="1" t="str">
        <f>IF(I84="","",IF(T84=Data!S$3,2,0))</f>
        <v/>
      </c>
      <c r="W84" s="1">
        <f t="shared" si="24"/>
        <v>-2</v>
      </c>
      <c r="X84" s="1">
        <f>IF(I84="",AE$2,IF(I84='Live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28</v>
      </c>
      <c r="Y84" t="str">
        <f t="shared" si="28"/>
        <v/>
      </c>
      <c r="Z84" t="str">
        <f t="shared" si="25"/>
        <v/>
      </c>
      <c r="AA84" s="111" t="str">
        <f t="shared" si="26"/>
        <v/>
      </c>
      <c r="AB84" t="str">
        <f t="shared" si="20"/>
        <v/>
      </c>
      <c r="AC84" t="str">
        <f>IF(I84="","",IF(I84='Live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
      </c>
      <c r="AF84" t="str">
        <f>IF(I84="","",IF(Q84="",0,IF(AND(Q84&gt;0,COUNTIF('Stats Calculator'!$T$24:$AA$24,Q84)=1),HLOOKUP(Q84,'Stats Calculator'!$T$24:$AA$27,4,FALSE),IF(AND(Q84&gt;0,COUNTIF('Stats Calculator'!$T$25:$AA$25,Q84)=1),HLOOKUP(Q84,'Stats Calculator'!$T$25:$AA$27,3,FALSE)))))</f>
        <v/>
      </c>
      <c r="AG84" t="str">
        <f>IF(I84="","",COUNTIF(I84,'Stats Calculator'!E$31)+COUNTIF(J84,'Stats Calculator'!E$32)+COUNTIF(K84,'Stats Calculator'!E$33)+COUNTIF(L84,'Stats Calculator'!E$34)+COUNTIF(M84,'Stats Calculator'!E$35)+COUNTIF(N84,'Stats Calculator'!E$36)+COUNTIF(O84,'Stats Calculator'!E$37)+COUNTIF(P84,'Stats Calculator'!E$38)-8+Data!S$3)</f>
        <v/>
      </c>
      <c r="AH84" t="str">
        <f>IF(I84="","",IF(Q84="",0,IF(Q84=0,0,IF(VLOOKUP(Engine!AF84,'Stats Calculator'!B$31:E$38,4,FALSE)="",0,IF(VLOOKUP(Engine!AF84,'Stats Calculator'!B$31:E$38,4,FALSE)=Q84,2,-2)))))</f>
        <v/>
      </c>
      <c r="AI84" t="str">
        <f>IF(I84="","",Data!S$3-COUNTA('Stats Calculator'!E$31:E$38))</f>
        <v/>
      </c>
      <c r="AJ84" t="str">
        <f>IF(I84="","",IF(AF84=0,0,IF(VLOOKUP(AF84,'Stats Calculator'!B$31:E$38,4,FALSE)&gt;0,0,2)))</f>
        <v/>
      </c>
      <c r="AK84" t="str">
        <f>IF(I84="","",IF(Data!S$3-Engine!AI84=AG84,2,0))</f>
        <v/>
      </c>
      <c r="AL84" t="str">
        <f t="shared" si="27"/>
        <v/>
      </c>
    </row>
    <row r="85" spans="1:38" x14ac:dyDescent="0.35">
      <c r="A85">
        <v>84</v>
      </c>
      <c r="B85" t="str">
        <f t="shared" si="18"/>
        <v/>
      </c>
      <c r="C85" s="111" t="str">
        <f t="shared" si="21"/>
        <v/>
      </c>
      <c r="D85" t="str">
        <f t="shared" si="19"/>
        <v/>
      </c>
      <c r="E85" s="3" t="str">
        <f t="shared" si="22"/>
        <v/>
      </c>
      <c r="F85" t="str">
        <f t="shared" si="23"/>
        <v/>
      </c>
      <c r="G85">
        <v>10</v>
      </c>
      <c r="H85" t="str">
        <f>Data!A86</f>
        <v>ZZZZZZ Suspend</v>
      </c>
      <c r="I85" s="2" t="str">
        <f>Data!C86</f>
        <v/>
      </c>
      <c r="J85" s="2" t="str">
        <f>Data!D86</f>
        <v/>
      </c>
      <c r="K85" s="2" t="str">
        <f>Data!E86</f>
        <v/>
      </c>
      <c r="L85" s="2" t="str">
        <f>IF(Data!$S$3&lt;Engine!L$1,0,Data!F86)</f>
        <v/>
      </c>
      <c r="M85" s="2" t="str">
        <f>IF(Data!$S$3&lt;Engine!M$1,0,Data!G86)</f>
        <v/>
      </c>
      <c r="N85" s="2" t="str">
        <f>IF(Data!$S$3&lt;Engine!N$1,0,Data!H86)</f>
        <v/>
      </c>
      <c r="O85" s="2" t="str">
        <f>IF(Data!$S$3&lt;Engine!O$1,0,Data!I86)</f>
        <v/>
      </c>
      <c r="P85" s="2" t="str">
        <f>IF(Data!$S$3&lt;Engine!P$1,0,Data!J86)</f>
        <v/>
      </c>
      <c r="Q85" s="11" t="str">
        <f>IF(Data!B86=1,Data!K86,"No Tips")</f>
        <v>No Tips</v>
      </c>
      <c r="R85" s="2" t="str">
        <f>Data!L86</f>
        <v/>
      </c>
      <c r="S85" s="2" t="str">
        <f>Data!M86</f>
        <v/>
      </c>
      <c r="T85" s="1" t="str">
        <f>IF(I85="","",COUNTIF('Live Ladder'!P:P,I85)+COUNTIF('Live Ladder'!P:P,J85)+COUNTIF('Live Ladder'!P:P,K85)+COUNTIF('Live Ladder'!P:P,L85)+COUNTIF('Live Ladder'!P:P,M85)+COUNTIF('Live Ladder'!P:P,N85)+COUNTIF('Live Ladder'!P:P,O85)+COUNTIF('Live Ladder'!P:P,P85))</f>
        <v/>
      </c>
      <c r="U85" s="1" t="str">
        <f>IF(I85="","",IF(COUNTIF('Live Ladder'!P:P,Engine!Q85)=1,2,IF(COUNTIF('Live Ladder'!Q:Q,Engine!Q85)=1,-2,0)))</f>
        <v/>
      </c>
      <c r="V85" s="1" t="str">
        <f>IF(I85="","",IF(T85=Data!S$3,2,0))</f>
        <v/>
      </c>
      <c r="W85" s="1">
        <f t="shared" si="24"/>
        <v>-2</v>
      </c>
      <c r="X85" s="1">
        <f>IF(I85="",AE$2,IF(I85='Live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28</v>
      </c>
      <c r="Y85" t="str">
        <f t="shared" si="28"/>
        <v/>
      </c>
      <c r="Z85" t="str">
        <f t="shared" si="25"/>
        <v/>
      </c>
      <c r="AA85" s="111" t="str">
        <f t="shared" si="26"/>
        <v/>
      </c>
      <c r="AB85" t="str">
        <f t="shared" si="20"/>
        <v/>
      </c>
      <c r="AC85" t="str">
        <f>IF(I85="","",IF(I85='Live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
      </c>
      <c r="AF85" t="str">
        <f>IF(I85="","",IF(Q85="",0,IF(AND(Q85&gt;0,COUNTIF('Stats Calculator'!$T$24:$AA$24,Q85)=1),HLOOKUP(Q85,'Stats Calculator'!$T$24:$AA$27,4,FALSE),IF(AND(Q85&gt;0,COUNTIF('Stats Calculator'!$T$25:$AA$25,Q85)=1),HLOOKUP(Q85,'Stats Calculator'!$T$25:$AA$27,3,FALSE)))))</f>
        <v/>
      </c>
      <c r="AG85" t="str">
        <f>IF(I85="","",COUNTIF(I85,'Stats Calculator'!E$31)+COUNTIF(J85,'Stats Calculator'!E$32)+COUNTIF(K85,'Stats Calculator'!E$33)+COUNTIF(L85,'Stats Calculator'!E$34)+COUNTIF(M85,'Stats Calculator'!E$35)+COUNTIF(N85,'Stats Calculator'!E$36)+COUNTIF(O85,'Stats Calculator'!E$37)+COUNTIF(P85,'Stats Calculator'!E$38)-8+Data!S$3)</f>
        <v/>
      </c>
      <c r="AH85" t="str">
        <f>IF(I85="","",IF(Q85="",0,IF(Q85=0,0,IF(VLOOKUP(Engine!AF85,'Stats Calculator'!B$31:E$38,4,FALSE)="",0,IF(VLOOKUP(Engine!AF85,'Stats Calculator'!B$31:E$38,4,FALSE)=Q85,2,-2)))))</f>
        <v/>
      </c>
      <c r="AI85" t="str">
        <f>IF(I85="","",Data!S$3-COUNTA('Stats Calculator'!E$31:E$38))</f>
        <v/>
      </c>
      <c r="AJ85" t="str">
        <f>IF(I85="","",IF(AF85=0,0,IF(VLOOKUP(AF85,'Stats Calculator'!B$31:E$38,4,FALSE)&gt;0,0,2)))</f>
        <v/>
      </c>
      <c r="AK85" t="str">
        <f>IF(I85="","",IF(Data!S$3-Engine!AI85=AG85,2,0))</f>
        <v/>
      </c>
      <c r="AL85" t="str">
        <f t="shared" si="27"/>
        <v/>
      </c>
    </row>
    <row r="86" spans="1:38" x14ac:dyDescent="0.35">
      <c r="A86">
        <v>85</v>
      </c>
      <c r="B86" t="str">
        <f t="shared" si="18"/>
        <v/>
      </c>
      <c r="C86" s="111" t="str">
        <f t="shared" ref="C86:C92" si="29">IF(H86="ZZZZZZ Suspend","",R86+(S86/100000)+(G86/1000000000))</f>
        <v/>
      </c>
      <c r="D86" t="str">
        <f t="shared" si="19"/>
        <v/>
      </c>
      <c r="E86" s="3" t="str">
        <f t="shared" ref="E86:E92" si="30">IF(H86="ZZZZZZ Suspend","",IF(D86&lt;B86,AD$3,IF(D86&gt;B86,AD$4,AD$5)))</f>
        <v/>
      </c>
      <c r="F86" t="str">
        <f t="shared" ref="F86:F92" si="31">IF(H86="ZZZZZZ Suspend","",IF(D86&gt;B86,D86-B86,IF(D86&lt;B86,B86-D86,"")))</f>
        <v/>
      </c>
      <c r="G86">
        <v>8</v>
      </c>
      <c r="H86" t="str">
        <f>Data!A88</f>
        <v>ZZZZZZ Suspend</v>
      </c>
      <c r="I86" s="2" t="str">
        <f>Data!C88</f>
        <v/>
      </c>
      <c r="J86" s="2" t="str">
        <f>Data!D88</f>
        <v/>
      </c>
      <c r="K86" s="2" t="str">
        <f>Data!E88</f>
        <v/>
      </c>
      <c r="L86" s="2" t="str">
        <f>IF(Data!$S$3&lt;Engine!L$1,0,Data!F88)</f>
        <v/>
      </c>
      <c r="M86" s="2" t="str">
        <f>IF(Data!$S$3&lt;Engine!M$1,0,Data!G88)</f>
        <v/>
      </c>
      <c r="N86" s="2" t="str">
        <f>IF(Data!$S$3&lt;Engine!N$1,0,Data!H88)</f>
        <v/>
      </c>
      <c r="O86" s="2" t="str">
        <f>IF(Data!$S$3&lt;Engine!O$1,0,Data!I88)</f>
        <v/>
      </c>
      <c r="P86" s="2" t="str">
        <f>IF(Data!$S$3&lt;Engine!P$1,0,Data!J88)</f>
        <v/>
      </c>
      <c r="Q86" s="11" t="str">
        <f>IF(Data!B88=1,Data!K88,"No Tips")</f>
        <v>No Tips</v>
      </c>
      <c r="R86" s="2" t="str">
        <f>Data!L88</f>
        <v/>
      </c>
      <c r="S86" s="2" t="str">
        <f>Data!M88</f>
        <v/>
      </c>
      <c r="T86" s="1" t="str">
        <f>IF(I86="","",COUNTIF('Live Ladder'!P:P,I86)+COUNTIF('Live Ladder'!P:P,J86)+COUNTIF('Live Ladder'!P:P,K86)+COUNTIF('Live Ladder'!P:P,L86)+COUNTIF('Live Ladder'!P:P,M86)+COUNTIF('Live Ladder'!P:P,N86)+COUNTIF('Live Ladder'!P:P,O86)+COUNTIF('Live Ladder'!P:P,P86))</f>
        <v/>
      </c>
      <c r="U86" s="1" t="str">
        <f>IF(I86="","",IF(COUNTIF('Live Ladder'!P:P,Engine!Q86)=1,2,IF(COUNTIF('Live Ladder'!Q:Q,Engine!Q86)=1,-2,0)))</f>
        <v/>
      </c>
      <c r="V86" s="1" t="str">
        <f>IF(I86="","",IF(T86=Data!S$3,2,0))</f>
        <v/>
      </c>
      <c r="W86" s="1">
        <f t="shared" ref="W86:W92" si="32">IF(I86="",AD$2,SUM(T86:V86))</f>
        <v>-2</v>
      </c>
      <c r="X86" s="1">
        <f>IF(I86="",AE$2,IF(I86='Live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28</v>
      </c>
      <c r="Y86" t="str">
        <f t="shared" ref="Y86:Y92" si="33">IF(H86="ZZZZZZ Suspend","",R86+W86)</f>
        <v/>
      </c>
      <c r="Z86" t="str">
        <f t="shared" ref="Z86:Z92" si="34">IF(H86="ZZZZZZ Suspend","",S86+X86)</f>
        <v/>
      </c>
      <c r="AA86" s="111" t="str">
        <f t="shared" ref="AA86:AA92" si="35">IF(H86="ZZZZZZ Suspend","",Y86+(Z86/100000)+(G86/1000000000))</f>
        <v/>
      </c>
      <c r="AB86" t="str">
        <f t="shared" si="20"/>
        <v/>
      </c>
      <c r="AC86" t="str">
        <f>IF(I86="","",IF(I86='Live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
      </c>
      <c r="AF86" t="str">
        <f>IF(I86="","",IF(Q86="",0,IF(AND(Q86&gt;0,COUNTIF('Stats Calculator'!$T$24:$AA$24,Q86)=1),HLOOKUP(Q86,'Stats Calculator'!$T$24:$AA$27,4,FALSE),IF(AND(Q86&gt;0,COUNTIF('Stats Calculator'!$T$25:$AA$25,Q86)=1),HLOOKUP(Q86,'Stats Calculator'!$T$25:$AA$27,3,FALSE)))))</f>
        <v/>
      </c>
      <c r="AG86" t="str">
        <f>IF(I86="","",COUNTIF(I86,'Stats Calculator'!E$31)+COUNTIF(J86,'Stats Calculator'!E$32)+COUNTIF(K86,'Stats Calculator'!E$33)+COUNTIF(L86,'Stats Calculator'!E$34)+COUNTIF(M86,'Stats Calculator'!E$35)+COUNTIF(N86,'Stats Calculator'!E$36)+COUNTIF(O86,'Stats Calculator'!E$37)+COUNTIF(P86,'Stats Calculator'!E$38)-8+Data!S$3)</f>
        <v/>
      </c>
      <c r="AH86" t="str">
        <f>IF(I86="","",IF(Q86="",0,IF(Q86=0,0,IF(VLOOKUP(Engine!AF86,'Stats Calculator'!B$31:E$38,4,FALSE)="",0,IF(VLOOKUP(Engine!AF86,'Stats Calculator'!B$31:E$38,4,FALSE)=Q86,2,-2)))))</f>
        <v/>
      </c>
      <c r="AI86" t="str">
        <f>IF(I86="","",Data!S$3-COUNTA('Stats Calculator'!E$31:E$38))</f>
        <v/>
      </c>
      <c r="AJ86" t="str">
        <f>IF(I86="","",IF(AF86=0,0,IF(VLOOKUP(AF86,'Stats Calculator'!B$31:E$38,4,FALSE)&gt;0,0,2)))</f>
        <v/>
      </c>
      <c r="AK86" t="str">
        <f>IF(I86="","",IF(Data!S$3-Engine!AI86=AG86,2,0))</f>
        <v/>
      </c>
      <c r="AL86" t="str">
        <f t="shared" ref="AL86:AL92" si="36">IF(I86="","",SUM(AG86:AK86))</f>
        <v/>
      </c>
    </row>
    <row r="87" spans="1:38" x14ac:dyDescent="0.35">
      <c r="A87">
        <v>86</v>
      </c>
      <c r="B87" t="str">
        <f t="shared" si="18"/>
        <v/>
      </c>
      <c r="C87" s="111" t="str">
        <f t="shared" si="29"/>
        <v/>
      </c>
      <c r="D87" t="str">
        <f t="shared" si="19"/>
        <v/>
      </c>
      <c r="E87" s="3" t="str">
        <f t="shared" si="30"/>
        <v/>
      </c>
      <c r="F87" t="str">
        <f t="shared" si="31"/>
        <v/>
      </c>
      <c r="G87">
        <v>7</v>
      </c>
      <c r="H87" t="str">
        <f>Data!A89</f>
        <v>ZZZZZZ Suspend</v>
      </c>
      <c r="I87" s="2" t="str">
        <f>Data!C89</f>
        <v/>
      </c>
      <c r="J87" s="2" t="str">
        <f>Data!D89</f>
        <v/>
      </c>
      <c r="K87" s="2" t="str">
        <f>Data!E89</f>
        <v/>
      </c>
      <c r="L87" s="2" t="str">
        <f>IF(Data!$S$3&lt;Engine!L$1,0,Data!F89)</f>
        <v/>
      </c>
      <c r="M87" s="2" t="str">
        <f>IF(Data!$S$3&lt;Engine!M$1,0,Data!G89)</f>
        <v/>
      </c>
      <c r="N87" s="2" t="str">
        <f>IF(Data!$S$3&lt;Engine!N$1,0,Data!H89)</f>
        <v/>
      </c>
      <c r="O87" s="2" t="str">
        <f>IF(Data!$S$3&lt;Engine!O$1,0,Data!I89)</f>
        <v/>
      </c>
      <c r="P87" s="2" t="str">
        <f>IF(Data!$S$3&lt;Engine!P$1,0,Data!J89)</f>
        <v/>
      </c>
      <c r="Q87" s="11" t="str">
        <f>IF(Data!B89=1,Data!K89,"No Tips")</f>
        <v>No Tips</v>
      </c>
      <c r="R87" s="2" t="str">
        <f>Data!L89</f>
        <v/>
      </c>
      <c r="S87" s="2" t="str">
        <f>Data!M89</f>
        <v/>
      </c>
      <c r="T87" s="1" t="str">
        <f>IF(I87="","",COUNTIF('Live Ladder'!P:P,I87)+COUNTIF('Live Ladder'!P:P,J87)+COUNTIF('Live Ladder'!P:P,K87)+COUNTIF('Live Ladder'!P:P,L87)+COUNTIF('Live Ladder'!P:P,M87)+COUNTIF('Live Ladder'!P:P,N87)+COUNTIF('Live Ladder'!P:P,O87)+COUNTIF('Live Ladder'!P:P,P87))</f>
        <v/>
      </c>
      <c r="U87" s="1" t="str">
        <f>IF(I87="","",IF(COUNTIF('Live Ladder'!P:P,Engine!Q87)=1,2,IF(COUNTIF('Live Ladder'!Q:Q,Engine!Q87)=1,-2,0)))</f>
        <v/>
      </c>
      <c r="V87" s="1" t="str">
        <f>IF(I87="","",IF(T87=Data!S$3,2,0))</f>
        <v/>
      </c>
      <c r="W87" s="1">
        <f t="shared" si="32"/>
        <v>-2</v>
      </c>
      <c r="X87" s="1">
        <f>IF(I87="",AE$2,IF(I87='Live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28</v>
      </c>
      <c r="Y87" t="str">
        <f t="shared" si="33"/>
        <v/>
      </c>
      <c r="Z87" t="str">
        <f t="shared" si="34"/>
        <v/>
      </c>
      <c r="AA87" s="111" t="str">
        <f t="shared" si="35"/>
        <v/>
      </c>
      <c r="AB87" t="str">
        <f t="shared" si="20"/>
        <v/>
      </c>
      <c r="AC87" t="str">
        <f>IF(I87="","",IF(I87='Live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
      </c>
      <c r="AF87" t="str">
        <f>IF(I87="","",IF(Q87="",0,IF(AND(Q87&gt;0,COUNTIF('Stats Calculator'!$T$24:$AA$24,Q87)=1),HLOOKUP(Q87,'Stats Calculator'!$T$24:$AA$27,4,FALSE),IF(AND(Q87&gt;0,COUNTIF('Stats Calculator'!$T$25:$AA$25,Q87)=1),HLOOKUP(Q87,'Stats Calculator'!$T$25:$AA$27,3,FALSE)))))</f>
        <v/>
      </c>
      <c r="AG87" t="str">
        <f>IF(I87="","",COUNTIF(I87,'Stats Calculator'!E$31)+COUNTIF(J87,'Stats Calculator'!E$32)+COUNTIF(K87,'Stats Calculator'!E$33)+COUNTIF(L87,'Stats Calculator'!E$34)+COUNTIF(M87,'Stats Calculator'!E$35)+COUNTIF(N87,'Stats Calculator'!E$36)+COUNTIF(O87,'Stats Calculator'!E$37)+COUNTIF(P87,'Stats Calculator'!E$38)-8+Data!S$3)</f>
        <v/>
      </c>
      <c r="AH87" t="str">
        <f>IF(I87="","",IF(Q87="",0,IF(Q87=0,0,IF(VLOOKUP(Engine!AF87,'Stats Calculator'!B$31:E$38,4,FALSE)="",0,IF(VLOOKUP(Engine!AF87,'Stats Calculator'!B$31:E$38,4,FALSE)=Q87,2,-2)))))</f>
        <v/>
      </c>
      <c r="AI87" t="str">
        <f>IF(I87="","",Data!S$3-COUNTA('Stats Calculator'!E$31:E$38))</f>
        <v/>
      </c>
      <c r="AJ87" t="str">
        <f>IF(I87="","",IF(AF87=0,0,IF(VLOOKUP(AF87,'Stats Calculator'!B$31:E$38,4,FALSE)&gt;0,0,2)))</f>
        <v/>
      </c>
      <c r="AK87" t="str">
        <f>IF(I87="","",IF(Data!S$3-Engine!AI87=AG87,2,0))</f>
        <v/>
      </c>
      <c r="AL87" t="str">
        <f t="shared" si="36"/>
        <v/>
      </c>
    </row>
    <row r="88" spans="1:38" x14ac:dyDescent="0.35">
      <c r="A88">
        <v>87</v>
      </c>
      <c r="B88" t="str">
        <f t="shared" si="18"/>
        <v/>
      </c>
      <c r="C88" s="111" t="str">
        <f t="shared" si="29"/>
        <v/>
      </c>
      <c r="D88" t="str">
        <f t="shared" si="19"/>
        <v/>
      </c>
      <c r="E88" s="3" t="str">
        <f t="shared" si="30"/>
        <v/>
      </c>
      <c r="F88" t="str">
        <f t="shared" si="31"/>
        <v/>
      </c>
      <c r="G88">
        <v>6</v>
      </c>
      <c r="H88" t="str">
        <f>Data!A90</f>
        <v>ZZZZZZ Suspend</v>
      </c>
      <c r="I88" s="2" t="str">
        <f>Data!C90</f>
        <v/>
      </c>
      <c r="J88" s="2" t="str">
        <f>Data!D90</f>
        <v/>
      </c>
      <c r="K88" s="2" t="str">
        <f>Data!E90</f>
        <v/>
      </c>
      <c r="L88" s="2" t="str">
        <f>IF(Data!$S$3&lt;Engine!L$1,0,Data!F90)</f>
        <v/>
      </c>
      <c r="M88" s="2" t="str">
        <f>IF(Data!$S$3&lt;Engine!M$1,0,Data!G90)</f>
        <v/>
      </c>
      <c r="N88" s="2" t="str">
        <f>IF(Data!$S$3&lt;Engine!N$1,0,Data!H90)</f>
        <v/>
      </c>
      <c r="O88" s="2" t="str">
        <f>IF(Data!$S$3&lt;Engine!O$1,0,Data!I90)</f>
        <v/>
      </c>
      <c r="P88" s="2" t="str">
        <f>IF(Data!$S$3&lt;Engine!P$1,0,Data!J90)</f>
        <v/>
      </c>
      <c r="Q88" s="11" t="str">
        <f>IF(Data!B90=1,Data!K90,"No Tips")</f>
        <v>No Tips</v>
      </c>
      <c r="R88" s="2" t="str">
        <f>Data!L90</f>
        <v/>
      </c>
      <c r="S88" s="2" t="str">
        <f>Data!M90</f>
        <v/>
      </c>
      <c r="T88" s="1" t="str">
        <f>IF(I88="","",COUNTIF('Live Ladder'!P:P,I88)+COUNTIF('Live Ladder'!P:P,J88)+COUNTIF('Live Ladder'!P:P,K88)+COUNTIF('Live Ladder'!P:P,L88)+COUNTIF('Live Ladder'!P:P,M88)+COUNTIF('Live Ladder'!P:P,N88)+COUNTIF('Live Ladder'!P:P,O88)+COUNTIF('Live Ladder'!P:P,P88))</f>
        <v/>
      </c>
      <c r="U88" s="1" t="str">
        <f>IF(I88="","",IF(COUNTIF('Live Ladder'!P:P,Engine!Q88)=1,2,IF(COUNTIF('Live Ladder'!Q:Q,Engine!Q88)=1,-2,0)))</f>
        <v/>
      </c>
      <c r="V88" s="1" t="str">
        <f>IF(I88="","",IF(T88=Data!S$3,2,0))</f>
        <v/>
      </c>
      <c r="W88" s="1">
        <f t="shared" si="32"/>
        <v>-2</v>
      </c>
      <c r="X88" s="1">
        <f>IF(I88="",AE$2,IF(I88='Live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28</v>
      </c>
      <c r="Y88" t="str">
        <f t="shared" si="33"/>
        <v/>
      </c>
      <c r="Z88" t="str">
        <f t="shared" si="34"/>
        <v/>
      </c>
      <c r="AA88" s="111" t="str">
        <f t="shared" si="35"/>
        <v/>
      </c>
      <c r="AB88" t="str">
        <f t="shared" si="20"/>
        <v/>
      </c>
      <c r="AC88" t="str">
        <f>IF(I88="","",IF(I88='Live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
      </c>
      <c r="AF88" t="str">
        <f>IF(I88="","",IF(Q88="",0,IF(AND(Q88&gt;0,COUNTIF('Stats Calculator'!$T$24:$AA$24,Q88)=1),HLOOKUP(Q88,'Stats Calculator'!$T$24:$AA$27,4,FALSE),IF(AND(Q88&gt;0,COUNTIF('Stats Calculator'!$T$25:$AA$25,Q88)=1),HLOOKUP(Q88,'Stats Calculator'!$T$25:$AA$27,3,FALSE)))))</f>
        <v/>
      </c>
      <c r="AG88" t="str">
        <f>IF(I88="","",COUNTIF(I88,'Stats Calculator'!E$31)+COUNTIF(J88,'Stats Calculator'!E$32)+COUNTIF(K88,'Stats Calculator'!E$33)+COUNTIF(L88,'Stats Calculator'!E$34)+COUNTIF(M88,'Stats Calculator'!E$35)+COUNTIF(N88,'Stats Calculator'!E$36)+COUNTIF(O88,'Stats Calculator'!E$37)+COUNTIF(P88,'Stats Calculator'!E$38)-8+Data!S$3)</f>
        <v/>
      </c>
      <c r="AH88" t="str">
        <f>IF(I88="","",IF(Q88="",0,IF(Q88=0,0,IF(VLOOKUP(Engine!AF88,'Stats Calculator'!B$31:E$38,4,FALSE)="",0,IF(VLOOKUP(Engine!AF88,'Stats Calculator'!B$31:E$38,4,FALSE)=Q88,2,-2)))))</f>
        <v/>
      </c>
      <c r="AI88" t="str">
        <f>IF(I88="","",Data!S$3-COUNTA('Stats Calculator'!E$31:E$38))</f>
        <v/>
      </c>
      <c r="AJ88" t="str">
        <f>IF(I88="","",IF(AF88=0,0,IF(VLOOKUP(AF88,'Stats Calculator'!B$31:E$38,4,FALSE)&gt;0,0,2)))</f>
        <v/>
      </c>
      <c r="AK88" t="str">
        <f>IF(I88="","",IF(Data!S$3-Engine!AI88=AG88,2,0))</f>
        <v/>
      </c>
      <c r="AL88" t="str">
        <f t="shared" si="36"/>
        <v/>
      </c>
    </row>
    <row r="89" spans="1:38" x14ac:dyDescent="0.35">
      <c r="A89">
        <v>88</v>
      </c>
      <c r="B89" t="str">
        <f t="shared" si="18"/>
        <v/>
      </c>
      <c r="C89" s="111" t="str">
        <f t="shared" si="29"/>
        <v/>
      </c>
      <c r="D89" t="str">
        <f t="shared" si="19"/>
        <v/>
      </c>
      <c r="E89" s="3" t="str">
        <f t="shared" si="30"/>
        <v/>
      </c>
      <c r="F89" t="str">
        <f t="shared" si="31"/>
        <v/>
      </c>
      <c r="G89">
        <v>4</v>
      </c>
      <c r="H89" t="str">
        <f>Data!A92</f>
        <v>ZZZZZZ Suspend</v>
      </c>
      <c r="I89" s="2" t="str">
        <f>Data!C92</f>
        <v/>
      </c>
      <c r="J89" s="2" t="str">
        <f>Data!D92</f>
        <v/>
      </c>
      <c r="K89" s="2" t="str">
        <f>Data!E92</f>
        <v/>
      </c>
      <c r="L89" s="2" t="str">
        <f>IF(Data!$S$3&lt;Engine!L$1,0,Data!F92)</f>
        <v/>
      </c>
      <c r="M89" s="2" t="str">
        <f>IF(Data!$S$3&lt;Engine!M$1,0,Data!G92)</f>
        <v/>
      </c>
      <c r="N89" s="2" t="str">
        <f>IF(Data!$S$3&lt;Engine!N$1,0,Data!H92)</f>
        <v/>
      </c>
      <c r="O89" s="2" t="str">
        <f>IF(Data!$S$3&lt;Engine!O$1,0,Data!I92)</f>
        <v/>
      </c>
      <c r="P89" s="2" t="str">
        <f>IF(Data!$S$3&lt;Engine!P$1,0,Data!J92)</f>
        <v/>
      </c>
      <c r="Q89" s="11" t="str">
        <f>IF(Data!B92=1,Data!K92,"No Tips")</f>
        <v>No Tips</v>
      </c>
      <c r="R89" s="2" t="str">
        <f>Data!L92</f>
        <v/>
      </c>
      <c r="S89" s="2" t="str">
        <f>Data!M92</f>
        <v/>
      </c>
      <c r="T89" s="1" t="str">
        <f>IF(I89="","",COUNTIF('Live Ladder'!P:P,I89)+COUNTIF('Live Ladder'!P:P,J89)+COUNTIF('Live Ladder'!P:P,K89)+COUNTIF('Live Ladder'!P:P,L89)+COUNTIF('Live Ladder'!P:P,M89)+COUNTIF('Live Ladder'!P:P,N89)+COUNTIF('Live Ladder'!P:P,O89)+COUNTIF('Live Ladder'!P:P,P89))</f>
        <v/>
      </c>
      <c r="U89" s="1" t="str">
        <f>IF(I89="","",IF(COUNTIF('Live Ladder'!P:P,Engine!Q89)=1,2,IF(COUNTIF('Live Ladder'!Q:Q,Engine!Q89)=1,-2,0)))</f>
        <v/>
      </c>
      <c r="V89" s="1" t="str">
        <f>IF(I89="","",IF(T89=Data!S$3,2,0))</f>
        <v/>
      </c>
      <c r="W89" s="1">
        <f t="shared" si="32"/>
        <v>-2</v>
      </c>
      <c r="X89" s="1">
        <f>IF(I89="",AE$2,IF(I89='Live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28</v>
      </c>
      <c r="Y89" t="str">
        <f t="shared" si="33"/>
        <v/>
      </c>
      <c r="Z89" t="str">
        <f t="shared" si="34"/>
        <v/>
      </c>
      <c r="AA89" s="111" t="str">
        <f t="shared" si="35"/>
        <v/>
      </c>
      <c r="AB89" t="str">
        <f t="shared" si="20"/>
        <v/>
      </c>
      <c r="AC89" t="str">
        <f>IF(I89="","",IF(I89='Live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
      </c>
      <c r="AF89" t="str">
        <f>IF(I89="","",IF(Q89="",0,IF(AND(Q89&gt;0,COUNTIF('Stats Calculator'!$T$24:$AA$24,Q89)=1),HLOOKUP(Q89,'Stats Calculator'!$T$24:$AA$27,4,FALSE),IF(AND(Q89&gt;0,COUNTIF('Stats Calculator'!$T$25:$AA$25,Q89)=1),HLOOKUP(Q89,'Stats Calculator'!$T$25:$AA$27,3,FALSE)))))</f>
        <v/>
      </c>
      <c r="AG89" t="str">
        <f>IF(I89="","",COUNTIF(I89,'Stats Calculator'!E$31)+COUNTIF(J89,'Stats Calculator'!E$32)+COUNTIF(K89,'Stats Calculator'!E$33)+COUNTIF(L89,'Stats Calculator'!E$34)+COUNTIF(M89,'Stats Calculator'!E$35)+COUNTIF(N89,'Stats Calculator'!E$36)+COUNTIF(O89,'Stats Calculator'!E$37)+COUNTIF(P89,'Stats Calculator'!E$38)-8+Data!S$3)</f>
        <v/>
      </c>
      <c r="AH89" t="str">
        <f>IF(I89="","",IF(Q89="",0,IF(Q89=0,0,IF(VLOOKUP(Engine!AF89,'Stats Calculator'!B$31:E$38,4,FALSE)="",0,IF(VLOOKUP(Engine!AF89,'Stats Calculator'!B$31:E$38,4,FALSE)=Q89,2,-2)))))</f>
        <v/>
      </c>
      <c r="AI89" t="str">
        <f>IF(I89="","",Data!S$3-COUNTA('Stats Calculator'!E$31:E$38))</f>
        <v/>
      </c>
      <c r="AJ89" t="str">
        <f>IF(I89="","",IF(AF89=0,0,IF(VLOOKUP(AF89,'Stats Calculator'!B$31:E$38,4,FALSE)&gt;0,0,2)))</f>
        <v/>
      </c>
      <c r="AK89" t="str">
        <f>IF(I89="","",IF(Data!S$3-Engine!AI89=AG89,2,0))</f>
        <v/>
      </c>
      <c r="AL89" t="str">
        <f t="shared" si="36"/>
        <v/>
      </c>
    </row>
    <row r="90" spans="1:38" x14ac:dyDescent="0.35">
      <c r="A90">
        <v>89</v>
      </c>
      <c r="B90" t="str">
        <f t="shared" si="18"/>
        <v/>
      </c>
      <c r="C90" s="111" t="str">
        <f t="shared" si="29"/>
        <v/>
      </c>
      <c r="D90" t="str">
        <f t="shared" si="19"/>
        <v/>
      </c>
      <c r="E90" s="3" t="str">
        <f t="shared" si="30"/>
        <v/>
      </c>
      <c r="F90" t="str">
        <f t="shared" si="31"/>
        <v/>
      </c>
      <c r="G90">
        <v>3</v>
      </c>
      <c r="H90" t="str">
        <f>Data!A93</f>
        <v>ZZZZZZ Suspend</v>
      </c>
      <c r="I90" s="2" t="str">
        <f>Data!C93</f>
        <v/>
      </c>
      <c r="J90" s="2" t="str">
        <f>Data!D93</f>
        <v/>
      </c>
      <c r="K90" s="2" t="str">
        <f>Data!E93</f>
        <v/>
      </c>
      <c r="L90" s="2" t="str">
        <f>IF(Data!$S$3&lt;Engine!L$1,0,Data!F93)</f>
        <v/>
      </c>
      <c r="M90" s="2" t="str">
        <f>IF(Data!$S$3&lt;Engine!M$1,0,Data!G93)</f>
        <v/>
      </c>
      <c r="N90" s="2" t="str">
        <f>IF(Data!$S$3&lt;Engine!N$1,0,Data!H93)</f>
        <v/>
      </c>
      <c r="O90" s="2" t="str">
        <f>IF(Data!$S$3&lt;Engine!O$1,0,Data!I93)</f>
        <v/>
      </c>
      <c r="P90" s="2" t="str">
        <f>IF(Data!$S$3&lt;Engine!P$1,0,Data!J93)</f>
        <v/>
      </c>
      <c r="Q90" s="11" t="str">
        <f>IF(Data!B93=1,Data!K93,"No Tips")</f>
        <v>No Tips</v>
      </c>
      <c r="R90" s="2" t="str">
        <f>Data!L93</f>
        <v/>
      </c>
      <c r="S90" s="2" t="str">
        <f>Data!M93</f>
        <v/>
      </c>
      <c r="T90" s="1" t="str">
        <f>IF(I90="","",COUNTIF('Live Ladder'!P:P,I90)+COUNTIF('Live Ladder'!P:P,J90)+COUNTIF('Live Ladder'!P:P,K90)+COUNTIF('Live Ladder'!P:P,L90)+COUNTIF('Live Ladder'!P:P,M90)+COUNTIF('Live Ladder'!P:P,N90)+COUNTIF('Live Ladder'!P:P,O90)+COUNTIF('Live Ladder'!P:P,P90))</f>
        <v/>
      </c>
      <c r="U90" s="1" t="str">
        <f>IF(I90="","",IF(COUNTIF('Live Ladder'!P:P,Engine!Q90)=1,2,IF(COUNTIF('Live Ladder'!Q:Q,Engine!Q90)=1,-2,0)))</f>
        <v/>
      </c>
      <c r="V90" s="1" t="str">
        <f>IF(I90="","",IF(T90=Data!S$3,2,0))</f>
        <v/>
      </c>
      <c r="W90" s="1">
        <f t="shared" si="32"/>
        <v>-2</v>
      </c>
      <c r="X90" s="1">
        <f>IF(I90="",AE$2,IF(I90='Live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28</v>
      </c>
      <c r="Y90" t="str">
        <f t="shared" si="33"/>
        <v/>
      </c>
      <c r="Z90" t="str">
        <f t="shared" si="34"/>
        <v/>
      </c>
      <c r="AA90" s="111" t="str">
        <f t="shared" si="35"/>
        <v/>
      </c>
      <c r="AB90" t="str">
        <f t="shared" si="20"/>
        <v/>
      </c>
      <c r="AC90" t="str">
        <f>IF(I90="","",IF(I90='Live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
      </c>
      <c r="AF90" t="str">
        <f>IF(I90="","",IF(Q90="",0,IF(AND(Q90&gt;0,COUNTIF('Stats Calculator'!$T$24:$AA$24,Q90)=1),HLOOKUP(Q90,'Stats Calculator'!$T$24:$AA$27,4,FALSE),IF(AND(Q90&gt;0,COUNTIF('Stats Calculator'!$T$25:$AA$25,Q90)=1),HLOOKUP(Q90,'Stats Calculator'!$T$25:$AA$27,3,FALSE)))))</f>
        <v/>
      </c>
      <c r="AG90" t="str">
        <f>IF(I90="","",COUNTIF(I90,'Stats Calculator'!E$31)+COUNTIF(J90,'Stats Calculator'!E$32)+COUNTIF(K90,'Stats Calculator'!E$33)+COUNTIF(L90,'Stats Calculator'!E$34)+COUNTIF(M90,'Stats Calculator'!E$35)+COUNTIF(N90,'Stats Calculator'!E$36)+COUNTIF(O90,'Stats Calculator'!E$37)+COUNTIF(P90,'Stats Calculator'!E$38)-8+Data!S$3)</f>
        <v/>
      </c>
      <c r="AH90" t="str">
        <f>IF(I90="","",IF(Q90="",0,IF(Q90=0,0,IF(VLOOKUP(Engine!AF90,'Stats Calculator'!B$31:E$38,4,FALSE)="",0,IF(VLOOKUP(Engine!AF90,'Stats Calculator'!B$31:E$38,4,FALSE)=Q90,2,-2)))))</f>
        <v/>
      </c>
      <c r="AI90" t="str">
        <f>IF(I90="","",Data!S$3-COUNTA('Stats Calculator'!E$31:E$38))</f>
        <v/>
      </c>
      <c r="AJ90" t="str">
        <f>IF(I90="","",IF(AF90=0,0,IF(VLOOKUP(AF90,'Stats Calculator'!B$31:E$38,4,FALSE)&gt;0,0,2)))</f>
        <v/>
      </c>
      <c r="AK90" t="str">
        <f>IF(I90="","",IF(Data!S$3-Engine!AI90=AG90,2,0))</f>
        <v/>
      </c>
      <c r="AL90" t="str">
        <f t="shared" si="36"/>
        <v/>
      </c>
    </row>
    <row r="91" spans="1:38" x14ac:dyDescent="0.35">
      <c r="A91">
        <v>90</v>
      </c>
      <c r="B91" t="str">
        <f t="shared" si="18"/>
        <v/>
      </c>
      <c r="C91" s="111" t="str">
        <f t="shared" si="29"/>
        <v/>
      </c>
      <c r="D91" t="str">
        <f t="shared" si="19"/>
        <v/>
      </c>
      <c r="E91" s="3" t="str">
        <f t="shared" si="30"/>
        <v/>
      </c>
      <c r="F91" t="str">
        <f t="shared" si="31"/>
        <v/>
      </c>
      <c r="G91">
        <v>2</v>
      </c>
      <c r="H91" t="str">
        <f>Data!A94</f>
        <v>ZZZZZZ Suspend</v>
      </c>
      <c r="I91" s="2" t="str">
        <f>Data!C94</f>
        <v/>
      </c>
      <c r="J91" s="2" t="str">
        <f>Data!D94</f>
        <v/>
      </c>
      <c r="K91" s="2" t="str">
        <f>Data!E94</f>
        <v/>
      </c>
      <c r="L91" s="2" t="str">
        <f>IF(Data!$S$3&lt;Engine!L$1,0,Data!F94)</f>
        <v/>
      </c>
      <c r="M91" s="2" t="str">
        <f>IF(Data!$S$3&lt;Engine!M$1,0,Data!G94)</f>
        <v/>
      </c>
      <c r="N91" s="2" t="str">
        <f>IF(Data!$S$3&lt;Engine!N$1,0,Data!H94)</f>
        <v/>
      </c>
      <c r="O91" s="2" t="str">
        <f>IF(Data!$S$3&lt;Engine!O$1,0,Data!I94)</f>
        <v/>
      </c>
      <c r="P91" s="2" t="str">
        <f>IF(Data!$S$3&lt;Engine!P$1,0,Data!J94)</f>
        <v/>
      </c>
      <c r="Q91" s="11" t="str">
        <f>IF(Data!B94=1,Data!K94,"No Tips")</f>
        <v>No Tips</v>
      </c>
      <c r="R91" s="2" t="str">
        <f>Data!L94</f>
        <v/>
      </c>
      <c r="S91" s="2" t="str">
        <f>Data!M94</f>
        <v/>
      </c>
      <c r="T91" s="1" t="str">
        <f>IF(I91="","",COUNTIF('Live Ladder'!P:P,I91)+COUNTIF('Live Ladder'!P:P,J91)+COUNTIF('Live Ladder'!P:P,K91)+COUNTIF('Live Ladder'!P:P,L91)+COUNTIF('Live Ladder'!P:P,M91)+COUNTIF('Live Ladder'!P:P,N91)+COUNTIF('Live Ladder'!P:P,O91)+COUNTIF('Live Ladder'!P:P,P91))</f>
        <v/>
      </c>
      <c r="U91" s="1" t="str">
        <f>IF(I91="","",IF(COUNTIF('Live Ladder'!P:P,Engine!Q91)=1,2,IF(COUNTIF('Live Ladder'!Q:Q,Engine!Q91)=1,-2,0)))</f>
        <v/>
      </c>
      <c r="V91" s="1" t="str">
        <f>IF(I91="","",IF(T91=Data!S$3,2,0))</f>
        <v/>
      </c>
      <c r="W91" s="1">
        <f t="shared" si="32"/>
        <v>-2</v>
      </c>
      <c r="X91" s="1">
        <f>IF(I91="",AE$2,IF(I91='Live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28</v>
      </c>
      <c r="Y91" t="str">
        <f t="shared" si="33"/>
        <v/>
      </c>
      <c r="Z91" t="str">
        <f t="shared" si="34"/>
        <v/>
      </c>
      <c r="AA91" s="111" t="str">
        <f t="shared" si="35"/>
        <v/>
      </c>
      <c r="AB91" t="str">
        <f t="shared" si="20"/>
        <v/>
      </c>
      <c r="AC91" t="str">
        <f>IF(I91="","",IF(I91='Live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
      </c>
      <c r="AF91" t="str">
        <f>IF(I91="","",IF(Q91="",0,IF(AND(Q91&gt;0,COUNTIF('Stats Calculator'!$T$24:$AA$24,Q91)=1),HLOOKUP(Q91,'Stats Calculator'!$T$24:$AA$27,4,FALSE),IF(AND(Q91&gt;0,COUNTIF('Stats Calculator'!$T$25:$AA$25,Q91)=1),HLOOKUP(Q91,'Stats Calculator'!$T$25:$AA$27,3,FALSE)))))</f>
        <v/>
      </c>
      <c r="AG91" t="str">
        <f>IF(I91="","",COUNTIF(I91,'Stats Calculator'!E$31)+COUNTIF(J91,'Stats Calculator'!E$32)+COUNTIF(K91,'Stats Calculator'!E$33)+COUNTIF(L91,'Stats Calculator'!E$34)+COUNTIF(M91,'Stats Calculator'!E$35)+COUNTIF(N91,'Stats Calculator'!E$36)+COUNTIF(O91,'Stats Calculator'!E$37)+COUNTIF(P91,'Stats Calculator'!E$38)-8+Data!S$3)</f>
        <v/>
      </c>
      <c r="AH91" t="str">
        <f>IF(I91="","",IF(Q91="",0,IF(Q91=0,0,IF(VLOOKUP(Engine!AF91,'Stats Calculator'!B$31:E$38,4,FALSE)="",0,IF(VLOOKUP(Engine!AF91,'Stats Calculator'!B$31:E$38,4,FALSE)=Q91,2,-2)))))</f>
        <v/>
      </c>
      <c r="AI91" t="str">
        <f>IF(I91="","",Data!S$3-COUNTA('Stats Calculator'!E$31:E$38))</f>
        <v/>
      </c>
      <c r="AJ91" t="str">
        <f>IF(I91="","",IF(AF91=0,0,IF(VLOOKUP(AF91,'Stats Calculator'!B$31:E$38,4,FALSE)&gt;0,0,2)))</f>
        <v/>
      </c>
      <c r="AK91" t="str">
        <f>IF(I91="","",IF(Data!S$3-Engine!AI91=AG91,2,0))</f>
        <v/>
      </c>
      <c r="AL91" t="str">
        <f t="shared" si="36"/>
        <v/>
      </c>
    </row>
    <row r="92" spans="1:38" x14ac:dyDescent="0.35">
      <c r="A92">
        <v>91</v>
      </c>
      <c r="B92" t="str">
        <f t="shared" si="18"/>
        <v/>
      </c>
      <c r="C92" s="111" t="str">
        <f t="shared" si="29"/>
        <v/>
      </c>
      <c r="D92" t="str">
        <f t="shared" si="19"/>
        <v/>
      </c>
      <c r="E92" s="3" t="str">
        <f t="shared" si="30"/>
        <v/>
      </c>
      <c r="F92" t="str">
        <f t="shared" si="31"/>
        <v/>
      </c>
      <c r="G92">
        <v>1</v>
      </c>
      <c r="H92" t="str">
        <f>Data!A95</f>
        <v>ZZZZZZ Suspend</v>
      </c>
      <c r="I92" s="2" t="str">
        <f>Data!C95</f>
        <v/>
      </c>
      <c r="J92" s="2" t="str">
        <f>Data!D95</f>
        <v/>
      </c>
      <c r="K92" s="2" t="str">
        <f>Data!E95</f>
        <v/>
      </c>
      <c r="L92" s="2" t="str">
        <f>IF(Data!$S$3&lt;Engine!L$1,0,Data!F95)</f>
        <v/>
      </c>
      <c r="M92" s="2" t="str">
        <f>IF(Data!$S$3&lt;Engine!M$1,0,Data!G95)</f>
        <v/>
      </c>
      <c r="N92" s="2" t="str">
        <f>IF(Data!$S$3&lt;Engine!N$1,0,Data!H95)</f>
        <v/>
      </c>
      <c r="O92" s="2" t="str">
        <f>IF(Data!$S$3&lt;Engine!O$1,0,Data!I95)</f>
        <v/>
      </c>
      <c r="P92" s="2" t="str">
        <f>IF(Data!$S$3&lt;Engine!P$1,0,Data!J95)</f>
        <v/>
      </c>
      <c r="Q92" s="11" t="str">
        <f>IF(Data!B95=1,Data!K95,"No Tips")</f>
        <v>No Tips</v>
      </c>
      <c r="R92" s="2" t="str">
        <f>Data!L95</f>
        <v/>
      </c>
      <c r="S92" s="2" t="str">
        <f>Data!M95</f>
        <v/>
      </c>
      <c r="T92" s="1" t="str">
        <f>IF(I92="","",COUNTIF('Live Ladder'!P:P,I92)+COUNTIF('Live Ladder'!P:P,J92)+COUNTIF('Live Ladder'!P:P,K92)+COUNTIF('Live Ladder'!P:P,L92)+COUNTIF('Live Ladder'!P:P,M92)+COUNTIF('Live Ladder'!P:P,N92)+COUNTIF('Live Ladder'!P:P,O92)+COUNTIF('Live Ladder'!P:P,P92))</f>
        <v/>
      </c>
      <c r="U92" s="1" t="str">
        <f>IF(I92="","",IF(COUNTIF('Live Ladder'!P:P,Engine!Q92)=1,2,IF(COUNTIF('Live Ladder'!Q:Q,Engine!Q92)=1,-2,0)))</f>
        <v/>
      </c>
      <c r="V92" s="1" t="str">
        <f>IF(I92="","",IF(T92=Data!S$3,2,0))</f>
        <v/>
      </c>
      <c r="W92" s="1">
        <f t="shared" si="32"/>
        <v>-2</v>
      </c>
      <c r="X92" s="1">
        <f>IF(I92="",AE$2,IF(I92='Live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28</v>
      </c>
      <c r="Y92" t="str">
        <f t="shared" si="33"/>
        <v/>
      </c>
      <c r="Z92" t="str">
        <f t="shared" si="34"/>
        <v/>
      </c>
      <c r="AA92" s="111" t="str">
        <f t="shared" si="35"/>
        <v/>
      </c>
      <c r="AB92" t="str">
        <f t="shared" si="20"/>
        <v/>
      </c>
      <c r="AC92" t="str">
        <f>IF(I92="","",IF(I92='Live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
      </c>
      <c r="AF92" t="str">
        <f>IF(I92="","",IF(Q92="",0,IF(AND(Q92&gt;0,COUNTIF('Stats Calculator'!$T$24:$AA$24,Q92)=1),HLOOKUP(Q92,'Stats Calculator'!$T$24:$AA$27,4,FALSE),IF(AND(Q92&gt;0,COUNTIF('Stats Calculator'!$T$25:$AA$25,Q92)=1),HLOOKUP(Q92,'Stats Calculator'!$T$25:$AA$27,3,FALSE)))))</f>
        <v/>
      </c>
      <c r="AG92" t="str">
        <f>IF(I92="","",COUNTIF(I92,'Stats Calculator'!E$31)+COUNTIF(J92,'Stats Calculator'!E$32)+COUNTIF(K92,'Stats Calculator'!E$33)+COUNTIF(L92,'Stats Calculator'!E$34)+COUNTIF(M92,'Stats Calculator'!E$35)+COUNTIF(N92,'Stats Calculator'!E$36)+COUNTIF(O92,'Stats Calculator'!E$37)+COUNTIF(P92,'Stats Calculator'!E$38)-8+Data!S$3)</f>
        <v/>
      </c>
      <c r="AH92" t="str">
        <f>IF(I92="","",IF(Q92="",0,IF(Q92=0,0,IF(VLOOKUP(Engine!AF92,'Stats Calculator'!B$31:E$38,4,FALSE)="",0,IF(VLOOKUP(Engine!AF92,'Stats Calculator'!B$31:E$38,4,FALSE)=Q92,2,-2)))))</f>
        <v/>
      </c>
      <c r="AI92" t="str">
        <f>IF(I92="","",Data!S$3-COUNTA('Stats Calculator'!E$31:E$38))</f>
        <v/>
      </c>
      <c r="AJ92" t="str">
        <f>IF(I92="","",IF(AF92=0,0,IF(VLOOKUP(AF92,'Stats Calculator'!B$31:E$38,4,FALSE)&gt;0,0,2)))</f>
        <v/>
      </c>
      <c r="AK92" t="str">
        <f>IF(I92="","",IF(Data!S$3-Engine!AI92=AG92,2,0))</f>
        <v/>
      </c>
      <c r="AL92" t="str">
        <f t="shared" si="36"/>
        <v/>
      </c>
    </row>
    <row r="93" spans="1:38" x14ac:dyDescent="0.35">
      <c r="A93">
        <v>92</v>
      </c>
      <c r="B93" t="str">
        <f t="shared" si="18"/>
        <v/>
      </c>
      <c r="C93" s="111" t="str">
        <f t="shared" ref="C93:C94" si="37">IF(H93="ZZZZZZ Suspend","",R93+(S93/100000)+(G93/1000000000))</f>
        <v/>
      </c>
      <c r="D93" t="str">
        <f t="shared" si="19"/>
        <v/>
      </c>
      <c r="E93" s="3" t="str">
        <f t="shared" ref="E93:E94" si="38">IF(H93="ZZZZZZ Suspend","",IF(D93&lt;B93,AD$3,IF(D93&gt;B93,AD$4,AD$5)))</f>
        <v/>
      </c>
      <c r="F93" t="str">
        <f t="shared" ref="F93:F94" si="39">IF(H93="ZZZZZZ Suspend","",IF(D93&gt;B93,D93-B93,IF(D93&lt;B93,B93-D93,"")))</f>
        <v/>
      </c>
      <c r="G93">
        <v>9</v>
      </c>
      <c r="H93" t="str">
        <f>Data!A87</f>
        <v>ZZZZZZ Suspend</v>
      </c>
      <c r="I93" s="2" t="str">
        <f>Data!C87</f>
        <v/>
      </c>
      <c r="J93" s="2" t="str">
        <f>Data!D87</f>
        <v/>
      </c>
      <c r="K93" s="2" t="str">
        <f>Data!E87</f>
        <v/>
      </c>
      <c r="L93" s="2" t="str">
        <f>IF(Data!$S$3&lt;Engine!L$1,0,Data!F87)</f>
        <v/>
      </c>
      <c r="M93" s="2" t="str">
        <f>IF(Data!$S$3&lt;Engine!M$1,0,Data!G87)</f>
        <v/>
      </c>
      <c r="N93" s="2" t="str">
        <f>IF(Data!$S$3&lt;Engine!N$1,0,Data!H87)</f>
        <v/>
      </c>
      <c r="O93" s="2" t="str">
        <f>IF(Data!$S$3&lt;Engine!O$1,0,Data!I87)</f>
        <v/>
      </c>
      <c r="P93" s="2" t="str">
        <f>IF(Data!$S$3&lt;Engine!P$1,0,Data!J87)</f>
        <v/>
      </c>
      <c r="Q93" s="11" t="str">
        <f>IF(Data!B87=1,Data!K87,"No Tips")</f>
        <v>No Tips</v>
      </c>
      <c r="R93" s="2" t="str">
        <f>Data!L87</f>
        <v/>
      </c>
      <c r="S93" s="2" t="str">
        <f>Data!M87</f>
        <v/>
      </c>
      <c r="T93" s="1" t="str">
        <f>IF(I93="","",COUNTIF('Live Ladder'!P:P,I93)+COUNTIF('Live Ladder'!P:P,J93)+COUNTIF('Live Ladder'!P:P,K93)+COUNTIF('Live Ladder'!P:P,L93)+COUNTIF('Live Ladder'!P:P,M93)+COUNTIF('Live Ladder'!P:P,N93)+COUNTIF('Live Ladder'!P:P,O93)+COUNTIF('Live Ladder'!P:P,P93))</f>
        <v/>
      </c>
      <c r="U93" s="1" t="str">
        <f>IF(I93="","",IF(COUNTIF('Live Ladder'!P:P,Engine!Q93)=1,2,IF(COUNTIF('Live Ladder'!Q:Q,Engine!Q93)=1,-2,0)))</f>
        <v/>
      </c>
      <c r="V93" s="1" t="str">
        <f>IF(I93="","",IF(T93=Data!S$3,2,0))</f>
        <v/>
      </c>
      <c r="W93" s="1">
        <f t="shared" ref="W93:W94" si="40">IF(I93="",AD$2,SUM(T93:V93))</f>
        <v>-2</v>
      </c>
      <c r="X93" s="1">
        <f>IF(I93="",AE$2,IF(I93='Live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28</v>
      </c>
      <c r="Y93" t="str">
        <f t="shared" ref="Y93:Y94" si="41">IF(H93="ZZZZZZ Suspend","",R93+W93)</f>
        <v/>
      </c>
      <c r="Z93" t="str">
        <f t="shared" ref="Z93:Z94" si="42">IF(H93="ZZZZZZ Suspend","",S93+X93)</f>
        <v/>
      </c>
      <c r="AA93" s="111" t="str">
        <f t="shared" ref="AA93:AA94" si="43">IF(H93="ZZZZZZ Suspend","",Y93+(Z93/100000)+(G93/1000000000))</f>
        <v/>
      </c>
      <c r="AB93" t="str">
        <f t="shared" si="20"/>
        <v/>
      </c>
      <c r="AC93" t="str">
        <f>IF(I93="","",IF(I93='Live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
      </c>
      <c r="AF93" t="str">
        <f>IF(I93="","",IF(Q93="",0,IF(AND(Q93&gt;0,COUNTIF('Stats Calculator'!$T$24:$AA$24,Q93)=1),HLOOKUP(Q93,'Stats Calculator'!$T$24:$AA$27,4,FALSE),IF(AND(Q93&gt;0,COUNTIF('Stats Calculator'!$T$25:$AA$25,Q93)=1),HLOOKUP(Q93,'Stats Calculator'!$T$25:$AA$27,3,FALSE)))))</f>
        <v/>
      </c>
      <c r="AG93" t="str">
        <f>IF(I93="","",COUNTIF(I93,'Stats Calculator'!E$31)+COUNTIF(J93,'Stats Calculator'!E$32)+COUNTIF(K93,'Stats Calculator'!E$33)+COUNTIF(L93,'Stats Calculator'!E$34)+COUNTIF(M93,'Stats Calculator'!E$35)+COUNTIF(N93,'Stats Calculator'!E$36)+COUNTIF(O93,'Stats Calculator'!E$37)+COUNTIF(P93,'Stats Calculator'!E$38)-8+Data!S$3)</f>
        <v/>
      </c>
      <c r="AH93" t="str">
        <f>IF(I93="","",IF(Q93="",0,IF(Q93=0,0,IF(VLOOKUP(Engine!AF93,'Stats Calculator'!B$31:E$38,4,FALSE)="",0,IF(VLOOKUP(Engine!AF93,'Stats Calculator'!B$31:E$38,4,FALSE)=Q93,2,-2)))))</f>
        <v/>
      </c>
      <c r="AI93" t="str">
        <f>IF(I93="","",Data!S$3-COUNTA('Stats Calculator'!E$31:E$38))</f>
        <v/>
      </c>
      <c r="AJ93" t="str">
        <f>IF(I93="","",IF(AF93=0,0,IF(VLOOKUP(AF93,'Stats Calculator'!B$31:E$38,4,FALSE)&gt;0,0,2)))</f>
        <v/>
      </c>
      <c r="AK93" t="str">
        <f>IF(I93="","",IF(Data!S$3-Engine!AI93=AG93,2,0))</f>
        <v/>
      </c>
      <c r="AL93" t="str">
        <f t="shared" ref="AL93:AL94" si="44">IF(I93="","",SUM(AG93:AK93))</f>
        <v/>
      </c>
    </row>
    <row r="94" spans="1:38" x14ac:dyDescent="0.35">
      <c r="A94">
        <v>93</v>
      </c>
      <c r="B94" t="str">
        <f t="shared" si="18"/>
        <v/>
      </c>
      <c r="C94" s="111" t="str">
        <f t="shared" si="37"/>
        <v/>
      </c>
      <c r="D94" t="str">
        <f t="shared" si="19"/>
        <v/>
      </c>
      <c r="E94" s="3" t="str">
        <f t="shared" si="38"/>
        <v/>
      </c>
      <c r="F94" t="str">
        <f t="shared" si="39"/>
        <v/>
      </c>
      <c r="G94">
        <v>5</v>
      </c>
      <c r="H94" t="str">
        <f>Data!A91</f>
        <v>ZZZZZZ Suspend</v>
      </c>
      <c r="I94" s="2" t="str">
        <f>Data!C91</f>
        <v/>
      </c>
      <c r="J94" s="2" t="str">
        <f>Data!D91</f>
        <v/>
      </c>
      <c r="K94" s="2" t="str">
        <f>Data!E91</f>
        <v/>
      </c>
      <c r="L94" s="2" t="str">
        <f>IF(Data!$S$3&lt;Engine!L$1,0,Data!F91)</f>
        <v/>
      </c>
      <c r="M94" s="2" t="str">
        <f>IF(Data!$S$3&lt;Engine!M$1,0,Data!G91)</f>
        <v/>
      </c>
      <c r="N94" s="2" t="str">
        <f>IF(Data!$S$3&lt;Engine!N$1,0,Data!H91)</f>
        <v/>
      </c>
      <c r="O94" s="2" t="str">
        <f>IF(Data!$S$3&lt;Engine!O$1,0,Data!I91)</f>
        <v/>
      </c>
      <c r="P94" s="2" t="str">
        <f>IF(Data!$S$3&lt;Engine!P$1,0,Data!J91)</f>
        <v/>
      </c>
      <c r="Q94" s="11" t="str">
        <f>IF(Data!B91=1,Data!K91,"No Tips")</f>
        <v>No Tips</v>
      </c>
      <c r="R94" s="2" t="str">
        <f>Data!L91</f>
        <v/>
      </c>
      <c r="S94" s="2" t="str">
        <f>Data!M91</f>
        <v/>
      </c>
      <c r="T94" s="1" t="str">
        <f>IF(I94="","",COUNTIF('Live Ladder'!P:P,I94)+COUNTIF('Live Ladder'!P:P,J94)+COUNTIF('Live Ladder'!P:P,K94)+COUNTIF('Live Ladder'!P:P,L94)+COUNTIF('Live Ladder'!P:P,M94)+COUNTIF('Live Ladder'!P:P,N94)+COUNTIF('Live Ladder'!P:P,O94)+COUNTIF('Live Ladder'!P:P,P94))</f>
        <v/>
      </c>
      <c r="U94" s="1" t="str">
        <f>IF(I94="","",IF(COUNTIF('Live Ladder'!P:P,Engine!Q94)=1,2,IF(COUNTIF('Live Ladder'!Q:Q,Engine!Q94)=1,-2,0)))</f>
        <v/>
      </c>
      <c r="V94" s="1" t="str">
        <f>IF(I94="","",IF(T94=Data!S$3,2,0))</f>
        <v/>
      </c>
      <c r="W94" s="1">
        <f t="shared" si="40"/>
        <v>-2</v>
      </c>
      <c r="X94" s="1">
        <f>IF(I94="",AE$2,IF(I94='Live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28</v>
      </c>
      <c r="Y94" t="str">
        <f t="shared" si="41"/>
        <v/>
      </c>
      <c r="Z94" t="str">
        <f t="shared" si="42"/>
        <v/>
      </c>
      <c r="AA94" s="111" t="str">
        <f t="shared" si="43"/>
        <v/>
      </c>
      <c r="AB94" t="str">
        <f t="shared" si="20"/>
        <v/>
      </c>
      <c r="AC94" t="str">
        <f>IF(I94="","",IF(I94='Live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
      </c>
      <c r="AF94" t="str">
        <f>IF(I94="","",IF(Q94="",0,IF(AND(Q94&gt;0,COUNTIF('Stats Calculator'!$T$24:$AA$24,Q94)=1),HLOOKUP(Q94,'Stats Calculator'!$T$24:$AA$27,4,FALSE),IF(AND(Q94&gt;0,COUNTIF('Stats Calculator'!$T$25:$AA$25,Q94)=1),HLOOKUP(Q94,'Stats Calculator'!$T$25:$AA$27,3,FALSE)))))</f>
        <v/>
      </c>
      <c r="AG94" t="str">
        <f>IF(I94="","",COUNTIF(I94,'Stats Calculator'!E$31)+COUNTIF(J94,'Stats Calculator'!E$32)+COUNTIF(K94,'Stats Calculator'!E$33)+COUNTIF(L94,'Stats Calculator'!E$34)+COUNTIF(M94,'Stats Calculator'!E$35)+COUNTIF(N94,'Stats Calculator'!E$36)+COUNTIF(O94,'Stats Calculator'!E$37)+COUNTIF(P94,'Stats Calculator'!E$38)-8+Data!S$3)</f>
        <v/>
      </c>
      <c r="AH94" t="str">
        <f>IF(I94="","",IF(Q94="",0,IF(Q94=0,0,IF(VLOOKUP(Engine!AF94,'Stats Calculator'!B$31:E$38,4,FALSE)="",0,IF(VLOOKUP(Engine!AF94,'Stats Calculator'!B$31:E$38,4,FALSE)=Q94,2,-2)))))</f>
        <v/>
      </c>
      <c r="AI94" t="str">
        <f>IF(I94="","",Data!S$3-COUNTA('Stats Calculator'!E$31:E$38))</f>
        <v/>
      </c>
      <c r="AJ94" t="str">
        <f>IF(I94="","",IF(AF94=0,0,IF(VLOOKUP(AF94,'Stats Calculator'!B$31:E$38,4,FALSE)&gt;0,0,2)))</f>
        <v/>
      </c>
      <c r="AK94" t="str">
        <f>IF(I94="","",IF(Data!S$3-Engine!AI94=AG94,2,0))</f>
        <v/>
      </c>
      <c r="AL94" t="str">
        <f t="shared" si="44"/>
        <v/>
      </c>
    </row>
    <row r="95" spans="1:38" x14ac:dyDescent="0.35">
      <c r="A95">
        <v>999</v>
      </c>
      <c r="B95">
        <f>RANK(C95,C:C)</f>
        <v>41</v>
      </c>
      <c r="C95" s="111">
        <f t="shared" si="21"/>
        <v>9.0045609989999988</v>
      </c>
      <c r="D95">
        <f>RANK(AA95,AA:AA)</f>
        <v>41</v>
      </c>
      <c r="E95" s="3" t="str">
        <f>IF(H95="ZZZZZZ Suspend","",IF(D95&lt;B95,AD$3,IF(D95&gt;B95,AD$4,AD$5)))</f>
        <v>u</v>
      </c>
      <c r="F95" t="str">
        <f>IF(D95&gt;B95,D95-B95,IF(D95&lt;B95,B95-D95,""))</f>
        <v/>
      </c>
      <c r="G95">
        <v>999</v>
      </c>
      <c r="H95" t="str">
        <f>Data!A96</f>
        <v>***Footy Tipper***</v>
      </c>
      <c r="I95" s="2" t="str">
        <f>Data!C96</f>
        <v>Bulldogs</v>
      </c>
      <c r="J95" s="2" t="str">
        <f>Data!D96</f>
        <v>Panthers</v>
      </c>
      <c r="K95" s="2" t="str">
        <f>Data!E96</f>
        <v>Storm</v>
      </c>
      <c r="L95" s="2" t="str">
        <f>IF(Data!$S$3&lt;Engine!L$1,0,Data!F96)</f>
        <v>Knights</v>
      </c>
      <c r="M95" s="2" t="str">
        <f>IF(Data!$S$3&lt;Engine!M$1,0,Data!G96)</f>
        <v>Sharks</v>
      </c>
      <c r="N95" s="2" t="str">
        <f>IF(Data!$S$3&lt;Engine!N$1,0,Data!H96)</f>
        <v>Wests Tigers</v>
      </c>
      <c r="O95" s="2" t="str">
        <f>IF(Data!$S$3&lt;Engine!O$1,0,Data!I96)</f>
        <v>Dragons</v>
      </c>
      <c r="P95" s="2" t="str">
        <f>IF(Data!$S$3&lt;Engine!P$1,0,Data!J96)</f>
        <v>Cowboys</v>
      </c>
      <c r="Q95" s="2" t="str">
        <f>Data!K96</f>
        <v>Storm</v>
      </c>
      <c r="R95" s="2">
        <f>Data!L96</f>
        <v>9</v>
      </c>
      <c r="S95" s="2">
        <f>Data!M96</f>
        <v>456</v>
      </c>
      <c r="T95" s="1">
        <f>IF(I95=AB95,AB$2,COUNTIF('Live Ladder'!P:P,I95)+COUNTIF('Live Ladder'!P:P,J95)+COUNTIF('Live Ladder'!P:P,K95)+COUNTIF('Live Ladder'!P:P,L95)+COUNTIF('Live Ladder'!P:P,M95)+COUNTIF('Live Ladder'!P:P,N95)+COUNTIF('Live Ladder'!P:P,O95)+COUNTIF('Live Ladder'!P:P,P95))</f>
        <v>2</v>
      </c>
      <c r="U95" s="1">
        <f>IF(COUNTIF('Live Ladder'!P:P,Engine!Q95)=1,2,IF(COUNTIF('Live Ladder'!Q:Q,Engine!Q95)=1,-2,0))</f>
        <v>-2</v>
      </c>
      <c r="V95" s="1">
        <f>IF(T95=Data!S$3,2,0)</f>
        <v>0</v>
      </c>
      <c r="X95" s="1">
        <f>IF(I95="",AE$2,IF(I95='Live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68</v>
      </c>
      <c r="Y95">
        <f>R95+SUM(T95:V95)</f>
        <v>9</v>
      </c>
      <c r="Z95">
        <f>S95+X95</f>
        <v>524</v>
      </c>
      <c r="AA95" s="111">
        <f t="shared" si="26"/>
        <v>9.0052409989999997</v>
      </c>
      <c r="AB95">
        <f>IF(I95="","",COUNTIF('Live Ladder'!P:P,I95)+COUNTIF('Live Ladder'!P:P,J95)+COUNTIF('Live Ladder'!P:P,K95)+COUNTIF('Live Ladder'!P:P,L95)+COUNTIF('Live Ladder'!P:P,M95)+COUNTIF('Live Ladder'!P:P,N95)+COUNTIF('Live Ladder'!P:P,O95)+COUNTIF('Live Ladder'!P:P,P95))</f>
        <v>2</v>
      </c>
      <c r="AC95">
        <f>IF(I95="","",IF(I95='Live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68</v>
      </c>
      <c r="AF95">
        <f>IF(I95="","",IF(Q95="",0,IF(AND(Q95&gt;0,COUNTIF('Stats Calculator'!$T$24:$AA$24,Q95)=1),HLOOKUP(Q95,'Stats Calculator'!$T$24:$AA$27,4,FALSE),IF(AND(Q95&gt;0,COUNTIF('Stats Calculator'!$T$25:$AA$25,Q95)=1),HLOOKUP(Q95,'Stats Calculator'!$T$25:$AA$27,3,FALSE)))))</f>
        <v>3</v>
      </c>
      <c r="AG95">
        <f>IF(I95="","",COUNTIF(I95,'Stats Calculator'!E$31)+COUNTIF(J95,'Stats Calculator'!E$32)+COUNTIF(K95,'Stats Calculator'!E$33)+COUNTIF(L95,'Stats Calculator'!E$34)+COUNTIF(M95,'Stats Calculator'!E$35)+COUNTIF(N95,'Stats Calculator'!E$36)+COUNTIF(O95,'Stats Calculator'!E$37)+COUNTIF(P95,'Stats Calculator'!E$38)-8+Data!S$3)</f>
        <v>2</v>
      </c>
      <c r="AH95">
        <f>IF(I95="","",IF(Q95="",0,IF(Q95=0,0,IF(VLOOKUP(Engine!AF95,'Stats Calculator'!B$31:E$38,4,FALSE)="",0,IF(VLOOKUP(Engine!AF95,'Stats Calculator'!B$31:E$38,4,FALSE)=Q95,2,-2)))))</f>
        <v>-2</v>
      </c>
      <c r="AI95">
        <f>IF(I95="","",Data!S$3-COUNTA('Stats Calculator'!E$31:E$38))</f>
        <v>5</v>
      </c>
      <c r="AJ95">
        <f>IF(I95="","",IF(AF95=0,0,IF(VLOOKUP(AF95,'Stats Calculator'!B$31:E$38,4,FALSE)&gt;0,0,2)))</f>
        <v>0</v>
      </c>
      <c r="AK95">
        <f>IF(I95="","",IF(Data!S$3-Engine!AI95=AG95,2,0))</f>
        <v>0</v>
      </c>
      <c r="AL95">
        <f t="shared" ref="AL95" si="45">IF(I95="","",SUM(AG95:AK95))</f>
        <v>5</v>
      </c>
    </row>
    <row r="97" spans="3:3" x14ac:dyDescent="0.35">
      <c r="C97" s="111" t="s">
        <v>62</v>
      </c>
    </row>
  </sheetData>
  <autoFilter ref="B1:AD95" xr:uid="{00000000-0009-0000-0000-000002000000}"/>
  <sortState xmlns:xlrd2="http://schemas.microsoft.com/office/spreadsheetml/2017/richdata2" ref="G2:S94">
    <sortCondition ref="H2:H94"/>
  </sortState>
  <conditionalFormatting sqref="I2:Q94">
    <cfRule type="cellIs" dxfId="8" priority="61" stopIfTrue="1" operator="equal">
      <formula>$Y$10</formula>
    </cfRule>
    <cfRule type="cellIs" dxfId="7" priority="62" stopIfTrue="1" operator="equal">
      <formula>$Y$11</formula>
    </cfRule>
    <cfRule type="cellIs" dxfId="6" priority="63" stopIfTrue="1" operator="equal">
      <formula>"ERROR"</formula>
    </cfRule>
  </conditionalFormatting>
  <conditionalFormatting sqref="I95:S95">
    <cfRule type="cellIs" dxfId="5" priority="1" stopIfTrue="1" operator="equal">
      <formula>$Y$10</formula>
    </cfRule>
    <cfRule type="cellIs" dxfId="4" priority="2" stopIfTrue="1" operator="equal">
      <formula>$Y$11</formula>
    </cfRule>
    <cfRule type="cellIs" dxfId="3" priority="3" stopIfTrue="1" operator="equal">
      <formula>"ERROR"</formula>
    </cfRule>
  </conditionalFormatting>
  <conditionalFormatting sqref="S2:S94">
    <cfRule type="cellIs" dxfId="2" priority="79" stopIfTrue="1" operator="equal">
      <formula>$Y$10</formula>
    </cfRule>
    <cfRule type="cellIs" dxfId="1" priority="80" stopIfTrue="1" operator="equal">
      <formula>$Y$11</formula>
    </cfRule>
    <cfRule type="cellIs" dxfId="0" priority="81" stopIfTrue="1" operator="equal">
      <formula>"ERROR"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FF0E-4408-4DFF-AE91-F9CD4606DB7D}">
  <dimension ref="B1:K59"/>
  <sheetViews>
    <sheetView showGridLines="0" showRowColHeaders="0" zoomScaleNormal="100" workbookViewId="0">
      <selection activeCell="B4" sqref="B4"/>
    </sheetView>
  </sheetViews>
  <sheetFormatPr defaultRowHeight="14.5" x14ac:dyDescent="0.35"/>
  <cols>
    <col min="1" max="1" width="1.1796875" style="126" customWidth="1"/>
    <col min="2" max="2" width="21.54296875" style="126" bestFit="1" customWidth="1"/>
    <col min="3" max="11" width="11.36328125" style="126" customWidth="1"/>
    <col min="12" max="16384" width="8.7265625" style="126"/>
  </cols>
  <sheetData>
    <row r="1" spans="2:11" s="61" customFormat="1" ht="104.5" customHeight="1" x14ac:dyDescent="0.5">
      <c r="E1" s="147" t="s">
        <v>207</v>
      </c>
      <c r="F1" s="147"/>
      <c r="G1" s="147"/>
    </row>
    <row r="4" spans="2:11" x14ac:dyDescent="0.35">
      <c r="B4" s="123" t="s">
        <v>69</v>
      </c>
      <c r="C4" s="123" t="s">
        <v>197</v>
      </c>
      <c r="D4" s="123" t="s">
        <v>198</v>
      </c>
      <c r="E4" s="123" t="s">
        <v>199</v>
      </c>
      <c r="F4" s="123" t="s">
        <v>200</v>
      </c>
      <c r="G4" s="123" t="s">
        <v>201</v>
      </c>
      <c r="H4" s="123" t="s">
        <v>202</v>
      </c>
      <c r="I4" s="123" t="s">
        <v>203</v>
      </c>
      <c r="J4" s="123" t="s">
        <v>204</v>
      </c>
      <c r="K4" s="123" t="s">
        <v>20</v>
      </c>
    </row>
    <row r="5" spans="2:11" x14ac:dyDescent="0.35">
      <c r="B5" s="124" t="s">
        <v>150</v>
      </c>
      <c r="C5" s="124" t="s">
        <v>131</v>
      </c>
      <c r="D5" s="124" t="s">
        <v>121</v>
      </c>
      <c r="E5" s="124" t="s">
        <v>125</v>
      </c>
      <c r="F5" s="124" t="s">
        <v>130</v>
      </c>
      <c r="G5" s="124" t="s">
        <v>123</v>
      </c>
      <c r="H5" s="124" t="s">
        <v>127</v>
      </c>
      <c r="I5" s="124" t="s">
        <v>146</v>
      </c>
      <c r="J5" s="124" t="s">
        <v>128</v>
      </c>
      <c r="K5" s="124" t="s">
        <v>123</v>
      </c>
    </row>
    <row r="6" spans="2:11" x14ac:dyDescent="0.35">
      <c r="B6" s="125" t="s">
        <v>151</v>
      </c>
      <c r="C6" s="125" t="s">
        <v>129</v>
      </c>
      <c r="D6" s="125" t="s">
        <v>121</v>
      </c>
      <c r="E6" s="125" t="s">
        <v>125</v>
      </c>
      <c r="F6" s="125" t="s">
        <v>130</v>
      </c>
      <c r="G6" s="125" t="s">
        <v>210</v>
      </c>
      <c r="H6" s="125" t="s">
        <v>132</v>
      </c>
      <c r="I6" s="125" t="s">
        <v>122</v>
      </c>
      <c r="J6" s="125" t="s">
        <v>211</v>
      </c>
      <c r="K6" s="125" t="s">
        <v>125</v>
      </c>
    </row>
    <row r="7" spans="2:11" x14ac:dyDescent="0.35">
      <c r="B7" s="124" t="s">
        <v>152</v>
      </c>
      <c r="C7" s="124" t="s">
        <v>129</v>
      </c>
      <c r="D7" s="124" t="s">
        <v>121</v>
      </c>
      <c r="E7" s="124" t="s">
        <v>125</v>
      </c>
      <c r="F7" s="124" t="s">
        <v>130</v>
      </c>
      <c r="G7" s="124" t="s">
        <v>123</v>
      </c>
      <c r="H7" s="124" t="s">
        <v>127</v>
      </c>
      <c r="I7" s="124" t="s">
        <v>146</v>
      </c>
      <c r="J7" s="124" t="s">
        <v>128</v>
      </c>
      <c r="K7" s="124" t="s">
        <v>121</v>
      </c>
    </row>
    <row r="8" spans="2:11" x14ac:dyDescent="0.35">
      <c r="B8" s="125" t="s">
        <v>153</v>
      </c>
      <c r="C8" s="125" t="s">
        <v>131</v>
      </c>
      <c r="D8" s="125" t="s">
        <v>121</v>
      </c>
      <c r="E8" s="125" t="s">
        <v>125</v>
      </c>
      <c r="F8" s="125" t="s">
        <v>130</v>
      </c>
      <c r="G8" s="125" t="s">
        <v>123</v>
      </c>
      <c r="H8" s="125" t="s">
        <v>127</v>
      </c>
      <c r="I8" s="125" t="s">
        <v>146</v>
      </c>
      <c r="J8" s="125" t="s">
        <v>128</v>
      </c>
      <c r="K8" s="125" t="s">
        <v>130</v>
      </c>
    </row>
    <row r="9" spans="2:11" x14ac:dyDescent="0.35">
      <c r="B9" s="124" t="s">
        <v>154</v>
      </c>
      <c r="C9" s="124" t="s">
        <v>131</v>
      </c>
      <c r="D9" s="124" t="s">
        <v>121</v>
      </c>
      <c r="E9" s="124" t="s">
        <v>125</v>
      </c>
      <c r="F9" s="124" t="s">
        <v>130</v>
      </c>
      <c r="G9" s="124" t="s">
        <v>123</v>
      </c>
      <c r="H9" s="124" t="s">
        <v>132</v>
      </c>
      <c r="I9" s="124" t="s">
        <v>146</v>
      </c>
      <c r="J9" s="124" t="s">
        <v>128</v>
      </c>
      <c r="K9" s="124" t="s">
        <v>132</v>
      </c>
    </row>
    <row r="10" spans="2:11" x14ac:dyDescent="0.35">
      <c r="B10" s="125" t="s">
        <v>155</v>
      </c>
      <c r="C10" s="125" t="s">
        <v>129</v>
      </c>
      <c r="D10" s="125" t="s">
        <v>147</v>
      </c>
      <c r="E10" s="125" t="s">
        <v>125</v>
      </c>
      <c r="F10" s="125" t="s">
        <v>130</v>
      </c>
      <c r="G10" s="125" t="s">
        <v>123</v>
      </c>
      <c r="H10" s="125" t="s">
        <v>132</v>
      </c>
      <c r="I10" s="125" t="s">
        <v>146</v>
      </c>
      <c r="J10" s="125" t="s">
        <v>211</v>
      </c>
      <c r="K10" s="125" t="s">
        <v>146</v>
      </c>
    </row>
    <row r="11" spans="2:11" x14ac:dyDescent="0.35">
      <c r="B11" s="124" t="s">
        <v>156</v>
      </c>
      <c r="C11" s="124" t="s">
        <v>131</v>
      </c>
      <c r="D11" s="124" t="s">
        <v>121</v>
      </c>
      <c r="E11" s="124" t="s">
        <v>125</v>
      </c>
      <c r="F11" s="124" t="s">
        <v>130</v>
      </c>
      <c r="G11" s="124" t="s">
        <v>123</v>
      </c>
      <c r="H11" s="124" t="s">
        <v>132</v>
      </c>
      <c r="I11" s="124" t="s">
        <v>146</v>
      </c>
      <c r="J11" s="124" t="s">
        <v>128</v>
      </c>
      <c r="K11" s="124" t="s">
        <v>125</v>
      </c>
    </row>
    <row r="12" spans="2:11" x14ac:dyDescent="0.35">
      <c r="B12" s="125" t="s">
        <v>157</v>
      </c>
      <c r="C12" s="125" t="s">
        <v>131</v>
      </c>
      <c r="D12" s="125" t="s">
        <v>121</v>
      </c>
      <c r="E12" s="125" t="s">
        <v>125</v>
      </c>
      <c r="F12" s="125" t="s">
        <v>130</v>
      </c>
      <c r="G12" s="125" t="s">
        <v>123</v>
      </c>
      <c r="H12" s="125" t="s">
        <v>127</v>
      </c>
      <c r="I12" s="125" t="s">
        <v>122</v>
      </c>
      <c r="J12" s="125" t="s">
        <v>128</v>
      </c>
      <c r="K12" s="125" t="s">
        <v>123</v>
      </c>
    </row>
    <row r="13" spans="2:11" x14ac:dyDescent="0.35">
      <c r="B13" s="124" t="s">
        <v>158</v>
      </c>
      <c r="C13" s="124" t="s">
        <v>129</v>
      </c>
      <c r="D13" s="124" t="s">
        <v>121</v>
      </c>
      <c r="E13" s="124" t="s">
        <v>125</v>
      </c>
      <c r="F13" s="124" t="s">
        <v>130</v>
      </c>
      <c r="G13" s="124" t="s">
        <v>123</v>
      </c>
      <c r="H13" s="124" t="s">
        <v>127</v>
      </c>
      <c r="I13" s="124" t="s">
        <v>146</v>
      </c>
      <c r="J13" s="124" t="s">
        <v>128</v>
      </c>
      <c r="K13" s="124" t="s">
        <v>121</v>
      </c>
    </row>
    <row r="14" spans="2:11" x14ac:dyDescent="0.35">
      <c r="B14" s="125" t="s">
        <v>228</v>
      </c>
      <c r="C14" s="125" t="s">
        <v>131</v>
      </c>
      <c r="D14" s="125" t="s">
        <v>121</v>
      </c>
      <c r="E14" s="125" t="s">
        <v>125</v>
      </c>
      <c r="F14" s="125" t="s">
        <v>130</v>
      </c>
      <c r="G14" s="125" t="s">
        <v>123</v>
      </c>
      <c r="H14" s="125" t="s">
        <v>127</v>
      </c>
      <c r="I14" s="125" t="s">
        <v>146</v>
      </c>
      <c r="J14" s="125" t="s">
        <v>128</v>
      </c>
      <c r="K14" s="125" t="s">
        <v>123</v>
      </c>
    </row>
    <row r="15" spans="2:11" x14ac:dyDescent="0.35">
      <c r="B15" s="124" t="s">
        <v>159</v>
      </c>
      <c r="C15" s="124" t="s">
        <v>129</v>
      </c>
      <c r="D15" s="124" t="s">
        <v>121</v>
      </c>
      <c r="E15" s="124" t="s">
        <v>125</v>
      </c>
      <c r="F15" s="124" t="s">
        <v>130</v>
      </c>
      <c r="G15" s="124" t="s">
        <v>123</v>
      </c>
      <c r="H15" s="124" t="s">
        <v>127</v>
      </c>
      <c r="I15" s="124" t="s">
        <v>122</v>
      </c>
      <c r="J15" s="124" t="s">
        <v>128</v>
      </c>
      <c r="K15" s="124" t="s">
        <v>125</v>
      </c>
    </row>
    <row r="16" spans="2:11" x14ac:dyDescent="0.35">
      <c r="B16" s="125" t="s">
        <v>160</v>
      </c>
      <c r="C16" s="125" t="s">
        <v>131</v>
      </c>
      <c r="D16" s="125" t="s">
        <v>121</v>
      </c>
      <c r="E16" s="125" t="s">
        <v>125</v>
      </c>
      <c r="F16" s="125" t="s">
        <v>218</v>
      </c>
      <c r="G16" s="125" t="s">
        <v>123</v>
      </c>
      <c r="H16" s="125" t="s">
        <v>132</v>
      </c>
      <c r="I16" s="125" t="s">
        <v>146</v>
      </c>
      <c r="J16" s="125" t="s">
        <v>128</v>
      </c>
      <c r="K16" s="125" t="s">
        <v>125</v>
      </c>
    </row>
    <row r="17" spans="2:11" x14ac:dyDescent="0.35">
      <c r="B17" s="124" t="s">
        <v>161</v>
      </c>
      <c r="C17" s="124" t="s">
        <v>129</v>
      </c>
      <c r="D17" s="124" t="s">
        <v>121</v>
      </c>
      <c r="E17" s="124" t="s">
        <v>125</v>
      </c>
      <c r="F17" s="124" t="s">
        <v>130</v>
      </c>
      <c r="G17" s="124" t="s">
        <v>123</v>
      </c>
      <c r="H17" s="124" t="s">
        <v>132</v>
      </c>
      <c r="I17" s="124" t="s">
        <v>146</v>
      </c>
      <c r="J17" s="124" t="s">
        <v>128</v>
      </c>
      <c r="K17" s="124" t="s">
        <v>121</v>
      </c>
    </row>
    <row r="18" spans="2:11" x14ac:dyDescent="0.35">
      <c r="B18" s="125" t="s">
        <v>162</v>
      </c>
      <c r="C18" s="125" t="s">
        <v>129</v>
      </c>
      <c r="D18" s="125" t="s">
        <v>121</v>
      </c>
      <c r="E18" s="125" t="s">
        <v>125</v>
      </c>
      <c r="F18" s="125" t="s">
        <v>130</v>
      </c>
      <c r="G18" s="125" t="s">
        <v>123</v>
      </c>
      <c r="H18" s="125" t="s">
        <v>127</v>
      </c>
      <c r="I18" s="125" t="s">
        <v>146</v>
      </c>
      <c r="J18" s="125" t="s">
        <v>211</v>
      </c>
      <c r="K18" s="125" t="s">
        <v>125</v>
      </c>
    </row>
    <row r="19" spans="2:11" x14ac:dyDescent="0.35">
      <c r="B19" s="124" t="s">
        <v>163</v>
      </c>
      <c r="C19" s="124" t="s">
        <v>129</v>
      </c>
      <c r="D19" s="124" t="s">
        <v>121</v>
      </c>
      <c r="E19" s="124" t="s">
        <v>125</v>
      </c>
      <c r="F19" s="124" t="s">
        <v>130</v>
      </c>
      <c r="G19" s="124" t="s">
        <v>123</v>
      </c>
      <c r="H19" s="124" t="s">
        <v>132</v>
      </c>
      <c r="I19" s="124" t="s">
        <v>146</v>
      </c>
      <c r="J19" s="124" t="s">
        <v>128</v>
      </c>
      <c r="K19" s="124" t="s">
        <v>146</v>
      </c>
    </row>
    <row r="20" spans="2:11" x14ac:dyDescent="0.35">
      <c r="B20" s="125" t="s">
        <v>164</v>
      </c>
      <c r="C20" s="125" t="s">
        <v>129</v>
      </c>
      <c r="D20" s="125" t="s">
        <v>147</v>
      </c>
      <c r="E20" s="125" t="s">
        <v>125</v>
      </c>
      <c r="F20" s="125" t="s">
        <v>130</v>
      </c>
      <c r="G20" s="125" t="s">
        <v>123</v>
      </c>
      <c r="H20" s="125" t="s">
        <v>127</v>
      </c>
      <c r="I20" s="125" t="s">
        <v>146</v>
      </c>
      <c r="J20" s="125" t="s">
        <v>128</v>
      </c>
      <c r="K20" s="125" t="s">
        <v>146</v>
      </c>
    </row>
    <row r="21" spans="2:11" x14ac:dyDescent="0.35">
      <c r="B21" s="124" t="s">
        <v>165</v>
      </c>
      <c r="C21" s="124" t="s">
        <v>129</v>
      </c>
      <c r="D21" s="124" t="s">
        <v>147</v>
      </c>
      <c r="E21" s="124" t="s">
        <v>125</v>
      </c>
      <c r="F21" s="124" t="s">
        <v>218</v>
      </c>
      <c r="G21" s="124" t="s">
        <v>123</v>
      </c>
      <c r="H21" s="124" t="s">
        <v>127</v>
      </c>
      <c r="I21" s="124" t="s">
        <v>146</v>
      </c>
      <c r="J21" s="124" t="s">
        <v>128</v>
      </c>
      <c r="K21" s="124" t="s">
        <v>129</v>
      </c>
    </row>
    <row r="22" spans="2:11" x14ac:dyDescent="0.35">
      <c r="B22" s="125" t="s">
        <v>166</v>
      </c>
      <c r="C22" s="125" t="s">
        <v>131</v>
      </c>
      <c r="D22" s="125" t="s">
        <v>121</v>
      </c>
      <c r="E22" s="125" t="s">
        <v>125</v>
      </c>
      <c r="F22" s="125" t="s">
        <v>130</v>
      </c>
      <c r="G22" s="125" t="s">
        <v>123</v>
      </c>
      <c r="H22" s="125" t="s">
        <v>132</v>
      </c>
      <c r="I22" s="125" t="s">
        <v>146</v>
      </c>
      <c r="J22" s="125" t="s">
        <v>128</v>
      </c>
      <c r="K22" s="125" t="s">
        <v>131</v>
      </c>
    </row>
    <row r="23" spans="2:11" x14ac:dyDescent="0.35">
      <c r="B23" s="124" t="s">
        <v>167</v>
      </c>
      <c r="C23" s="124" t="s">
        <v>129</v>
      </c>
      <c r="D23" s="124" t="s">
        <v>121</v>
      </c>
      <c r="E23" s="124" t="s">
        <v>125</v>
      </c>
      <c r="F23" s="124" t="s">
        <v>130</v>
      </c>
      <c r="G23" s="124" t="s">
        <v>123</v>
      </c>
      <c r="H23" s="124" t="s">
        <v>127</v>
      </c>
      <c r="I23" s="124" t="s">
        <v>122</v>
      </c>
      <c r="J23" s="124" t="s">
        <v>128</v>
      </c>
      <c r="K23" s="124" t="s">
        <v>125</v>
      </c>
    </row>
    <row r="24" spans="2:11" x14ac:dyDescent="0.35">
      <c r="B24" s="125" t="s">
        <v>168</v>
      </c>
      <c r="C24" s="125" t="s">
        <v>131</v>
      </c>
      <c r="D24" s="125" t="s">
        <v>121</v>
      </c>
      <c r="E24" s="125" t="s">
        <v>125</v>
      </c>
      <c r="F24" s="125" t="s">
        <v>218</v>
      </c>
      <c r="G24" s="125" t="s">
        <v>123</v>
      </c>
      <c r="H24" s="125" t="s">
        <v>132</v>
      </c>
      <c r="I24" s="125" t="s">
        <v>146</v>
      </c>
      <c r="J24" s="125" t="s">
        <v>128</v>
      </c>
      <c r="K24" s="125" t="s">
        <v>125</v>
      </c>
    </row>
    <row r="25" spans="2:11" x14ac:dyDescent="0.35">
      <c r="B25" s="124" t="s">
        <v>169</v>
      </c>
      <c r="C25" s="124" t="s">
        <v>129</v>
      </c>
      <c r="D25" s="124" t="s">
        <v>121</v>
      </c>
      <c r="E25" s="124" t="s">
        <v>125</v>
      </c>
      <c r="F25" s="124" t="s">
        <v>218</v>
      </c>
      <c r="G25" s="124" t="s">
        <v>123</v>
      </c>
      <c r="H25" s="124" t="s">
        <v>132</v>
      </c>
      <c r="I25" s="124" t="s">
        <v>146</v>
      </c>
      <c r="J25" s="124" t="s">
        <v>211</v>
      </c>
      <c r="K25" s="124" t="s">
        <v>125</v>
      </c>
    </row>
    <row r="26" spans="2:11" x14ac:dyDescent="0.35">
      <c r="B26" s="125" t="s">
        <v>170</v>
      </c>
      <c r="C26" s="125" t="s">
        <v>129</v>
      </c>
      <c r="D26" s="125" t="s">
        <v>121</v>
      </c>
      <c r="E26" s="125" t="s">
        <v>125</v>
      </c>
      <c r="F26" s="125" t="s">
        <v>130</v>
      </c>
      <c r="G26" s="125" t="s">
        <v>123</v>
      </c>
      <c r="H26" s="125" t="s">
        <v>127</v>
      </c>
      <c r="I26" s="125" t="s">
        <v>146</v>
      </c>
      <c r="J26" s="125" t="s">
        <v>128</v>
      </c>
      <c r="K26" s="125" t="s">
        <v>128</v>
      </c>
    </row>
    <row r="27" spans="2:11" x14ac:dyDescent="0.35">
      <c r="B27" s="124" t="s">
        <v>171</v>
      </c>
      <c r="C27" s="124" t="s">
        <v>129</v>
      </c>
      <c r="D27" s="124" t="s">
        <v>121</v>
      </c>
      <c r="E27" s="124" t="s">
        <v>125</v>
      </c>
      <c r="F27" s="124" t="s">
        <v>218</v>
      </c>
      <c r="G27" s="124" t="s">
        <v>123</v>
      </c>
      <c r="H27" s="124" t="s">
        <v>127</v>
      </c>
      <c r="I27" s="124" t="s">
        <v>146</v>
      </c>
      <c r="J27" s="124" t="s">
        <v>128</v>
      </c>
      <c r="K27" s="124" t="s">
        <v>125</v>
      </c>
    </row>
    <row r="28" spans="2:11" x14ac:dyDescent="0.35">
      <c r="B28" s="125" t="s">
        <v>172</v>
      </c>
      <c r="C28" s="125" t="s">
        <v>129</v>
      </c>
      <c r="D28" s="125" t="s">
        <v>121</v>
      </c>
      <c r="E28" s="125" t="s">
        <v>125</v>
      </c>
      <c r="F28" s="125" t="s">
        <v>130</v>
      </c>
      <c r="G28" s="125" t="s">
        <v>123</v>
      </c>
      <c r="H28" s="125" t="s">
        <v>127</v>
      </c>
      <c r="I28" s="125" t="s">
        <v>146</v>
      </c>
      <c r="J28" s="125" t="s">
        <v>128</v>
      </c>
      <c r="K28" s="125" t="s">
        <v>123</v>
      </c>
    </row>
    <row r="29" spans="2:11" x14ac:dyDescent="0.35">
      <c r="B29" s="124" t="s">
        <v>173</v>
      </c>
      <c r="C29" s="124" t="s">
        <v>129</v>
      </c>
      <c r="D29" s="124" t="s">
        <v>121</v>
      </c>
      <c r="E29" s="124" t="s">
        <v>125</v>
      </c>
      <c r="F29" s="124" t="s">
        <v>218</v>
      </c>
      <c r="G29" s="124" t="s">
        <v>123</v>
      </c>
      <c r="H29" s="124" t="s">
        <v>132</v>
      </c>
      <c r="I29" s="124" t="s">
        <v>146</v>
      </c>
      <c r="J29" s="124" t="s">
        <v>128</v>
      </c>
      <c r="K29" s="124" t="s">
        <v>125</v>
      </c>
    </row>
    <row r="30" spans="2:11" x14ac:dyDescent="0.35">
      <c r="B30" s="125" t="s">
        <v>174</v>
      </c>
      <c r="C30" s="125" t="s">
        <v>131</v>
      </c>
      <c r="D30" s="125" t="s">
        <v>121</v>
      </c>
      <c r="E30" s="125" t="s">
        <v>125</v>
      </c>
      <c r="F30" s="125" t="s">
        <v>130</v>
      </c>
      <c r="G30" s="125" t="s">
        <v>123</v>
      </c>
      <c r="H30" s="125" t="s">
        <v>127</v>
      </c>
      <c r="I30" s="125" t="s">
        <v>146</v>
      </c>
      <c r="J30" s="125" t="s">
        <v>128</v>
      </c>
      <c r="K30" s="125" t="s">
        <v>146</v>
      </c>
    </row>
    <row r="31" spans="2:11" x14ac:dyDescent="0.35">
      <c r="B31" s="124" t="s">
        <v>175</v>
      </c>
      <c r="C31" s="124" t="s">
        <v>129</v>
      </c>
      <c r="D31" s="124" t="s">
        <v>147</v>
      </c>
      <c r="E31" s="124" t="s">
        <v>124</v>
      </c>
      <c r="F31" s="124" t="s">
        <v>130</v>
      </c>
      <c r="G31" s="124" t="s">
        <v>210</v>
      </c>
      <c r="H31" s="124" t="s">
        <v>127</v>
      </c>
      <c r="I31" s="124" t="s">
        <v>122</v>
      </c>
      <c r="J31" s="124" t="s">
        <v>211</v>
      </c>
      <c r="K31" s="124" t="s">
        <v>129</v>
      </c>
    </row>
    <row r="32" spans="2:11" x14ac:dyDescent="0.35">
      <c r="B32" s="125" t="s">
        <v>176</v>
      </c>
      <c r="C32" s="125" t="s">
        <v>129</v>
      </c>
      <c r="D32" s="125" t="s">
        <v>121</v>
      </c>
      <c r="E32" s="125" t="s">
        <v>125</v>
      </c>
      <c r="F32" s="125" t="s">
        <v>130</v>
      </c>
      <c r="G32" s="125" t="s">
        <v>123</v>
      </c>
      <c r="H32" s="125" t="s">
        <v>127</v>
      </c>
      <c r="I32" s="125" t="s">
        <v>146</v>
      </c>
      <c r="J32" s="125" t="s">
        <v>128</v>
      </c>
      <c r="K32" s="125" t="s">
        <v>125</v>
      </c>
    </row>
    <row r="33" spans="2:11" x14ac:dyDescent="0.35">
      <c r="B33" s="124" t="s">
        <v>177</v>
      </c>
      <c r="C33" s="124" t="s">
        <v>129</v>
      </c>
      <c r="D33" s="124" t="s">
        <v>121</v>
      </c>
      <c r="E33" s="124" t="s">
        <v>125</v>
      </c>
      <c r="F33" s="124" t="s">
        <v>130</v>
      </c>
      <c r="G33" s="124" t="s">
        <v>123</v>
      </c>
      <c r="H33" s="124" t="s">
        <v>127</v>
      </c>
      <c r="I33" s="124" t="s">
        <v>146</v>
      </c>
      <c r="J33" s="124" t="s">
        <v>128</v>
      </c>
      <c r="K33" s="124" t="s">
        <v>123</v>
      </c>
    </row>
    <row r="34" spans="2:11" x14ac:dyDescent="0.35">
      <c r="B34" s="125" t="s">
        <v>178</v>
      </c>
      <c r="C34" s="125" t="s">
        <v>131</v>
      </c>
      <c r="D34" s="125" t="s">
        <v>121</v>
      </c>
      <c r="E34" s="125" t="s">
        <v>124</v>
      </c>
      <c r="F34" s="125" t="s">
        <v>218</v>
      </c>
      <c r="G34" s="125" t="s">
        <v>123</v>
      </c>
      <c r="H34" s="125" t="s">
        <v>132</v>
      </c>
      <c r="I34" s="125" t="s">
        <v>146</v>
      </c>
      <c r="J34" s="125" t="s">
        <v>128</v>
      </c>
      <c r="K34" s="125" t="s">
        <v>121</v>
      </c>
    </row>
    <row r="35" spans="2:11" x14ac:dyDescent="0.35">
      <c r="B35" s="124" t="s">
        <v>179</v>
      </c>
      <c r="C35" s="124" t="s">
        <v>129</v>
      </c>
      <c r="D35" s="124" t="s">
        <v>121</v>
      </c>
      <c r="E35" s="124" t="s">
        <v>125</v>
      </c>
      <c r="F35" s="124" t="s">
        <v>218</v>
      </c>
      <c r="G35" s="124" t="s">
        <v>123</v>
      </c>
      <c r="H35" s="124" t="s">
        <v>132</v>
      </c>
      <c r="I35" s="124" t="s">
        <v>146</v>
      </c>
      <c r="J35" s="124" t="s">
        <v>128</v>
      </c>
      <c r="K35" s="124" t="s">
        <v>123</v>
      </c>
    </row>
    <row r="36" spans="2:11" x14ac:dyDescent="0.35">
      <c r="B36" s="125" t="s">
        <v>180</v>
      </c>
      <c r="C36" s="125" t="s">
        <v>131</v>
      </c>
      <c r="D36" s="125" t="s">
        <v>121</v>
      </c>
      <c r="E36" s="125" t="s">
        <v>125</v>
      </c>
      <c r="F36" s="125" t="s">
        <v>130</v>
      </c>
      <c r="G36" s="125" t="s">
        <v>123</v>
      </c>
      <c r="H36" s="125" t="s">
        <v>132</v>
      </c>
      <c r="I36" s="125" t="s">
        <v>146</v>
      </c>
      <c r="J36" s="125" t="s">
        <v>128</v>
      </c>
      <c r="K36" s="125" t="s">
        <v>125</v>
      </c>
    </row>
    <row r="37" spans="2:11" x14ac:dyDescent="0.35">
      <c r="B37" s="124" t="s">
        <v>181</v>
      </c>
      <c r="C37" s="124" t="s">
        <v>131</v>
      </c>
      <c r="D37" s="124" t="s">
        <v>121</v>
      </c>
      <c r="E37" s="124" t="s">
        <v>125</v>
      </c>
      <c r="F37" s="124" t="s">
        <v>130</v>
      </c>
      <c r="G37" s="124" t="s">
        <v>123</v>
      </c>
      <c r="H37" s="124" t="s">
        <v>127</v>
      </c>
      <c r="I37" s="124" t="s">
        <v>146</v>
      </c>
      <c r="J37" s="124" t="s">
        <v>211</v>
      </c>
      <c r="K37" s="124" t="s">
        <v>123</v>
      </c>
    </row>
    <row r="38" spans="2:11" x14ac:dyDescent="0.35">
      <c r="B38" s="125" t="s">
        <v>229</v>
      </c>
      <c r="C38" s="125" t="s">
        <v>129</v>
      </c>
      <c r="D38" s="125" t="s">
        <v>121</v>
      </c>
      <c r="E38" s="125" t="s">
        <v>125</v>
      </c>
      <c r="F38" s="125" t="s">
        <v>130</v>
      </c>
      <c r="G38" s="125" t="s">
        <v>123</v>
      </c>
      <c r="H38" s="125" t="s">
        <v>127</v>
      </c>
      <c r="I38" s="125" t="s">
        <v>146</v>
      </c>
      <c r="J38" s="125" t="s">
        <v>128</v>
      </c>
      <c r="K38" s="125" t="s">
        <v>121</v>
      </c>
    </row>
    <row r="39" spans="2:11" x14ac:dyDescent="0.35">
      <c r="B39" s="124" t="s">
        <v>182</v>
      </c>
      <c r="C39" s="124" t="s">
        <v>131</v>
      </c>
      <c r="D39" s="124" t="s">
        <v>121</v>
      </c>
      <c r="E39" s="124" t="s">
        <v>125</v>
      </c>
      <c r="F39" s="124" t="s">
        <v>218</v>
      </c>
      <c r="G39" s="124" t="s">
        <v>123</v>
      </c>
      <c r="H39" s="124" t="s">
        <v>127</v>
      </c>
      <c r="I39" s="124" t="s">
        <v>146</v>
      </c>
      <c r="J39" s="124" t="s">
        <v>128</v>
      </c>
      <c r="K39" s="124" t="s">
        <v>125</v>
      </c>
    </row>
    <row r="40" spans="2:11" x14ac:dyDescent="0.35">
      <c r="B40" s="125" t="s">
        <v>183</v>
      </c>
      <c r="C40" s="125" t="s">
        <v>129</v>
      </c>
      <c r="D40" s="125" t="s">
        <v>121</v>
      </c>
      <c r="E40" s="125" t="s">
        <v>125</v>
      </c>
      <c r="F40" s="125" t="s">
        <v>130</v>
      </c>
      <c r="G40" s="125" t="s">
        <v>123</v>
      </c>
      <c r="H40" s="125" t="s">
        <v>127</v>
      </c>
      <c r="I40" s="125" t="s">
        <v>146</v>
      </c>
      <c r="J40" s="125" t="s">
        <v>128</v>
      </c>
      <c r="K40" s="125" t="s">
        <v>125</v>
      </c>
    </row>
    <row r="41" spans="2:11" x14ac:dyDescent="0.35">
      <c r="B41" s="124" t="s">
        <v>184</v>
      </c>
      <c r="C41" s="124" t="s">
        <v>129</v>
      </c>
      <c r="D41" s="124" t="s">
        <v>121</v>
      </c>
      <c r="E41" s="124" t="s">
        <v>125</v>
      </c>
      <c r="F41" s="124" t="s">
        <v>130</v>
      </c>
      <c r="G41" s="124" t="s">
        <v>123</v>
      </c>
      <c r="H41" s="124" t="s">
        <v>127</v>
      </c>
      <c r="I41" s="124" t="s">
        <v>146</v>
      </c>
      <c r="J41" s="124" t="s">
        <v>128</v>
      </c>
      <c r="K41" s="124" t="s">
        <v>125</v>
      </c>
    </row>
    <row r="42" spans="2:11" x14ac:dyDescent="0.35">
      <c r="B42" s="125" t="s">
        <v>185</v>
      </c>
      <c r="C42" s="125" t="s">
        <v>131</v>
      </c>
      <c r="D42" s="125" t="s">
        <v>121</v>
      </c>
      <c r="E42" s="125" t="s">
        <v>125</v>
      </c>
      <c r="F42" s="125" t="s">
        <v>130</v>
      </c>
      <c r="G42" s="125" t="s">
        <v>123</v>
      </c>
      <c r="H42" s="125" t="s">
        <v>127</v>
      </c>
      <c r="I42" s="125" t="s">
        <v>146</v>
      </c>
      <c r="J42" s="125" t="s">
        <v>128</v>
      </c>
      <c r="K42" s="125" t="s">
        <v>125</v>
      </c>
    </row>
    <row r="43" spans="2:11" x14ac:dyDescent="0.35">
      <c r="B43" s="124" t="s">
        <v>186</v>
      </c>
      <c r="C43" s="124" t="s">
        <v>131</v>
      </c>
      <c r="D43" s="124" t="s">
        <v>121</v>
      </c>
      <c r="E43" s="124" t="s">
        <v>125</v>
      </c>
      <c r="F43" s="124" t="s">
        <v>130</v>
      </c>
      <c r="G43" s="124" t="s">
        <v>123</v>
      </c>
      <c r="H43" s="124" t="s">
        <v>132</v>
      </c>
      <c r="I43" s="124" t="s">
        <v>146</v>
      </c>
      <c r="J43" s="124" t="s">
        <v>128</v>
      </c>
      <c r="K43" s="124" t="s">
        <v>125</v>
      </c>
    </row>
    <row r="44" spans="2:11" x14ac:dyDescent="0.35">
      <c r="B44" s="125" t="s">
        <v>187</v>
      </c>
      <c r="C44" s="125" t="s">
        <v>129</v>
      </c>
      <c r="D44" s="125" t="s">
        <v>121</v>
      </c>
      <c r="E44" s="125" t="s">
        <v>125</v>
      </c>
      <c r="F44" s="125" t="s">
        <v>130</v>
      </c>
      <c r="G44" s="125" t="s">
        <v>123</v>
      </c>
      <c r="H44" s="125" t="s">
        <v>127</v>
      </c>
      <c r="I44" s="125" t="s">
        <v>146</v>
      </c>
      <c r="J44" s="125" t="s">
        <v>128</v>
      </c>
      <c r="K44" s="125" t="s">
        <v>130</v>
      </c>
    </row>
    <row r="45" spans="2:11" x14ac:dyDescent="0.35">
      <c r="B45" s="124" t="s">
        <v>188</v>
      </c>
      <c r="C45" s="124" t="s">
        <v>129</v>
      </c>
      <c r="D45" s="124" t="s">
        <v>147</v>
      </c>
      <c r="E45" s="124" t="s">
        <v>125</v>
      </c>
      <c r="F45" s="124" t="s">
        <v>130</v>
      </c>
      <c r="G45" s="124" t="s">
        <v>210</v>
      </c>
      <c r="H45" s="124" t="s">
        <v>127</v>
      </c>
      <c r="I45" s="124" t="s">
        <v>122</v>
      </c>
      <c r="J45" s="124" t="s">
        <v>211</v>
      </c>
      <c r="K45" s="124" t="s">
        <v>125</v>
      </c>
    </row>
    <row r="46" spans="2:11" x14ac:dyDescent="0.35">
      <c r="B46" s="125" t="s">
        <v>189</v>
      </c>
      <c r="C46" s="125" t="s">
        <v>131</v>
      </c>
      <c r="D46" s="125" t="s">
        <v>121</v>
      </c>
      <c r="E46" s="125" t="s">
        <v>125</v>
      </c>
      <c r="F46" s="125" t="s">
        <v>130</v>
      </c>
      <c r="G46" s="125" t="s">
        <v>123</v>
      </c>
      <c r="H46" s="125" t="s">
        <v>132</v>
      </c>
      <c r="I46" s="125" t="s">
        <v>122</v>
      </c>
      <c r="J46" s="125" t="s">
        <v>128</v>
      </c>
      <c r="K46" s="125" t="s">
        <v>125</v>
      </c>
    </row>
    <row r="47" spans="2:11" x14ac:dyDescent="0.35">
      <c r="B47" s="124" t="s">
        <v>144</v>
      </c>
      <c r="C47" s="124" t="s">
        <v>129</v>
      </c>
      <c r="D47" s="124" t="s">
        <v>121</v>
      </c>
      <c r="E47" s="124" t="s">
        <v>125</v>
      </c>
      <c r="F47" s="124" t="s">
        <v>130</v>
      </c>
      <c r="G47" s="124" t="s">
        <v>123</v>
      </c>
      <c r="H47" s="124" t="s">
        <v>127</v>
      </c>
      <c r="I47" s="124" t="s">
        <v>146</v>
      </c>
      <c r="J47" s="124" t="s">
        <v>128</v>
      </c>
      <c r="K47" s="124" t="s">
        <v>125</v>
      </c>
    </row>
    <row r="48" spans="2:11" x14ac:dyDescent="0.35">
      <c r="B48" s="125" t="s">
        <v>190</v>
      </c>
      <c r="C48" s="125" t="s">
        <v>129</v>
      </c>
      <c r="D48" s="125" t="s">
        <v>121</v>
      </c>
      <c r="E48" s="125" t="s">
        <v>125</v>
      </c>
      <c r="F48" s="125" t="s">
        <v>130</v>
      </c>
      <c r="G48" s="125" t="s">
        <v>123</v>
      </c>
      <c r="H48" s="125" t="s">
        <v>132</v>
      </c>
      <c r="I48" s="125" t="s">
        <v>146</v>
      </c>
      <c r="J48" s="125" t="s">
        <v>128</v>
      </c>
      <c r="K48" s="125" t="s">
        <v>125</v>
      </c>
    </row>
    <row r="49" spans="2:11" x14ac:dyDescent="0.35">
      <c r="B49" s="124" t="s">
        <v>191</v>
      </c>
      <c r="C49" s="124" t="s">
        <v>131</v>
      </c>
      <c r="D49" s="124" t="s">
        <v>121</v>
      </c>
      <c r="E49" s="124" t="s">
        <v>125</v>
      </c>
      <c r="F49" s="124" t="s">
        <v>130</v>
      </c>
      <c r="G49" s="124" t="s">
        <v>123</v>
      </c>
      <c r="H49" s="124" t="s">
        <v>127</v>
      </c>
      <c r="I49" s="124" t="s">
        <v>146</v>
      </c>
      <c r="J49" s="124" t="s">
        <v>128</v>
      </c>
      <c r="K49" s="124" t="s">
        <v>123</v>
      </c>
    </row>
    <row r="50" spans="2:11" x14ac:dyDescent="0.35">
      <c r="B50" s="125" t="s">
        <v>192</v>
      </c>
      <c r="C50" s="125" t="s">
        <v>131</v>
      </c>
      <c r="D50" s="125" t="s">
        <v>121</v>
      </c>
      <c r="E50" s="125" t="s">
        <v>125</v>
      </c>
      <c r="F50" s="125" t="s">
        <v>130</v>
      </c>
      <c r="G50" s="125" t="s">
        <v>123</v>
      </c>
      <c r="H50" s="125" t="s">
        <v>127</v>
      </c>
      <c r="I50" s="125" t="s">
        <v>146</v>
      </c>
      <c r="J50" s="125" t="s">
        <v>128</v>
      </c>
      <c r="K50" s="125" t="s">
        <v>127</v>
      </c>
    </row>
    <row r="51" spans="2:11" x14ac:dyDescent="0.35">
      <c r="B51" s="124" t="s">
        <v>193</v>
      </c>
      <c r="C51" s="124" t="s">
        <v>129</v>
      </c>
      <c r="D51" s="124" t="s">
        <v>121</v>
      </c>
      <c r="E51" s="124" t="s">
        <v>125</v>
      </c>
      <c r="F51" s="124" t="s">
        <v>130</v>
      </c>
      <c r="G51" s="124" t="s">
        <v>123</v>
      </c>
      <c r="H51" s="124" t="s">
        <v>127</v>
      </c>
      <c r="I51" s="124" t="s">
        <v>122</v>
      </c>
      <c r="J51" s="124" t="s">
        <v>128</v>
      </c>
      <c r="K51" s="124" t="s">
        <v>125</v>
      </c>
    </row>
    <row r="52" spans="2:11" x14ac:dyDescent="0.35">
      <c r="B52" s="125" t="s">
        <v>194</v>
      </c>
      <c r="C52" s="125" t="s">
        <v>131</v>
      </c>
      <c r="D52" s="125" t="s">
        <v>121</v>
      </c>
      <c r="E52" s="125" t="s">
        <v>125</v>
      </c>
      <c r="F52" s="125" t="s">
        <v>130</v>
      </c>
      <c r="G52" s="125" t="s">
        <v>123</v>
      </c>
      <c r="H52" s="125" t="s">
        <v>127</v>
      </c>
      <c r="I52" s="125" t="s">
        <v>122</v>
      </c>
      <c r="J52" s="125" t="s">
        <v>128</v>
      </c>
      <c r="K52" s="125" t="s">
        <v>123</v>
      </c>
    </row>
    <row r="53" spans="2:11" x14ac:dyDescent="0.35">
      <c r="B53" s="124" t="s">
        <v>195</v>
      </c>
      <c r="C53" s="124" t="s">
        <v>131</v>
      </c>
      <c r="D53" s="124" t="s">
        <v>121</v>
      </c>
      <c r="E53" s="124" t="s">
        <v>125</v>
      </c>
      <c r="F53" s="124" t="s">
        <v>130</v>
      </c>
      <c r="G53" s="124" t="s">
        <v>123</v>
      </c>
      <c r="H53" s="124" t="s">
        <v>127</v>
      </c>
      <c r="I53" s="124" t="s">
        <v>146</v>
      </c>
      <c r="J53" s="124" t="s">
        <v>211</v>
      </c>
      <c r="K53" s="124" t="s">
        <v>125</v>
      </c>
    </row>
    <row r="54" spans="2:11" x14ac:dyDescent="0.35">
      <c r="B54" s="125" t="s">
        <v>230</v>
      </c>
      <c r="C54" s="125" t="s">
        <v>129</v>
      </c>
      <c r="D54" s="125" t="s">
        <v>121</v>
      </c>
      <c r="E54" s="125" t="s">
        <v>125</v>
      </c>
      <c r="F54" s="125" t="s">
        <v>130</v>
      </c>
      <c r="G54" s="125" t="s">
        <v>123</v>
      </c>
      <c r="H54" s="125" t="s">
        <v>127</v>
      </c>
      <c r="I54" s="125" t="s">
        <v>146</v>
      </c>
      <c r="J54" s="125" t="s">
        <v>128</v>
      </c>
      <c r="K54" s="125" t="s">
        <v>125</v>
      </c>
    </row>
    <row r="55" spans="2:11" hidden="1" x14ac:dyDescent="0.35">
      <c r="B55" s="124" t="s">
        <v>231</v>
      </c>
      <c r="C55" s="124" t="s">
        <v>84</v>
      </c>
      <c r="D55" s="124" t="s">
        <v>84</v>
      </c>
      <c r="E55" s="124" t="s">
        <v>84</v>
      </c>
      <c r="F55" s="124" t="s">
        <v>84</v>
      </c>
      <c r="G55" s="124" t="s">
        <v>84</v>
      </c>
      <c r="H55" s="124" t="s">
        <v>84</v>
      </c>
      <c r="I55" s="124" t="s">
        <v>84</v>
      </c>
      <c r="J55" s="124" t="s">
        <v>84</v>
      </c>
      <c r="K55" s="124" t="s">
        <v>232</v>
      </c>
    </row>
    <row r="56" spans="2:11" hidden="1" x14ac:dyDescent="0.35">
      <c r="B56" s="125" t="s">
        <v>231</v>
      </c>
      <c r="C56" s="125" t="s">
        <v>84</v>
      </c>
      <c r="D56" s="125" t="s">
        <v>84</v>
      </c>
      <c r="E56" s="125" t="s">
        <v>84</v>
      </c>
      <c r="F56" s="125" t="s">
        <v>84</v>
      </c>
      <c r="G56" s="125" t="s">
        <v>84</v>
      </c>
      <c r="H56" s="125" t="s">
        <v>84</v>
      </c>
      <c r="I56" s="125" t="s">
        <v>84</v>
      </c>
      <c r="J56" s="125" t="s">
        <v>84</v>
      </c>
      <c r="K56" s="125" t="s">
        <v>232</v>
      </c>
    </row>
    <row r="57" spans="2:11" hidden="1" x14ac:dyDescent="0.35">
      <c r="B57" s="124" t="s">
        <v>231</v>
      </c>
      <c r="C57" s="124" t="s">
        <v>84</v>
      </c>
      <c r="D57" s="124" t="s">
        <v>84</v>
      </c>
      <c r="E57" s="124" t="s">
        <v>84</v>
      </c>
      <c r="F57" s="124" t="s">
        <v>84</v>
      </c>
      <c r="G57" s="124" t="s">
        <v>84</v>
      </c>
      <c r="H57" s="124" t="s">
        <v>84</v>
      </c>
      <c r="I57" s="124" t="s">
        <v>84</v>
      </c>
      <c r="J57" s="124" t="s">
        <v>84</v>
      </c>
      <c r="K57" s="124" t="s">
        <v>232</v>
      </c>
    </row>
    <row r="58" spans="2:11" hidden="1" x14ac:dyDescent="0.35">
      <c r="B58" s="125" t="s">
        <v>231</v>
      </c>
      <c r="C58" s="125" t="s">
        <v>84</v>
      </c>
      <c r="D58" s="125" t="s">
        <v>84</v>
      </c>
      <c r="E58" s="125" t="s">
        <v>84</v>
      </c>
      <c r="F58" s="125" t="s">
        <v>84</v>
      </c>
      <c r="G58" s="125" t="s">
        <v>84</v>
      </c>
      <c r="H58" s="125" t="s">
        <v>84</v>
      </c>
      <c r="I58" s="125" t="s">
        <v>84</v>
      </c>
      <c r="J58" s="125" t="s">
        <v>84</v>
      </c>
      <c r="K58" s="125" t="s">
        <v>232</v>
      </c>
    </row>
    <row r="59" spans="2:11" x14ac:dyDescent="0.35">
      <c r="B59" s="124" t="s">
        <v>196</v>
      </c>
      <c r="C59" s="124" t="s">
        <v>131</v>
      </c>
      <c r="D59" s="124" t="s">
        <v>121</v>
      </c>
      <c r="E59" s="124" t="s">
        <v>125</v>
      </c>
      <c r="F59" s="124" t="s">
        <v>218</v>
      </c>
      <c r="G59" s="124" t="s">
        <v>123</v>
      </c>
      <c r="H59" s="124" t="s">
        <v>132</v>
      </c>
      <c r="I59" s="124" t="s">
        <v>122</v>
      </c>
      <c r="J59" s="124" t="s">
        <v>128</v>
      </c>
      <c r="K59" s="124" t="s">
        <v>125</v>
      </c>
    </row>
  </sheetData>
  <sheetProtection selectLockedCells="1"/>
  <mergeCells count="1">
    <mergeCell ref="E1:G1"/>
  </mergeCells>
  <phoneticPr fontId="51" type="noConversion"/>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S96"/>
  <sheetViews>
    <sheetView workbookViewId="0">
      <selection sqref="A1:Z1048576"/>
    </sheetView>
  </sheetViews>
  <sheetFormatPr defaultRowHeight="14.5" x14ac:dyDescent="0.35"/>
  <cols>
    <col min="14" max="14" width="6.54296875" bestFit="1" customWidth="1"/>
    <col min="17" max="17" width="13.1796875" bestFit="1" customWidth="1"/>
  </cols>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4</v>
      </c>
      <c r="D2">
        <v>5</v>
      </c>
      <c r="E2">
        <v>6</v>
      </c>
      <c r="F2">
        <v>7</v>
      </c>
      <c r="G2">
        <v>8</v>
      </c>
      <c r="H2">
        <v>9</v>
      </c>
      <c r="I2">
        <v>10</v>
      </c>
      <c r="J2">
        <v>11</v>
      </c>
      <c r="K2">
        <v>12</v>
      </c>
    </row>
    <row r="3" spans="1:19" x14ac:dyDescent="0.35">
      <c r="A3" t="s">
        <v>150</v>
      </c>
      <c r="B3">
        <v>1</v>
      </c>
      <c r="C3" t="s">
        <v>131</v>
      </c>
      <c r="D3" t="s">
        <v>121</v>
      </c>
      <c r="E3" t="s">
        <v>125</v>
      </c>
      <c r="F3" t="s">
        <v>130</v>
      </c>
      <c r="G3" t="s">
        <v>123</v>
      </c>
      <c r="H3" t="s">
        <v>127</v>
      </c>
      <c r="I3" t="s">
        <v>146</v>
      </c>
      <c r="J3" t="s">
        <v>128</v>
      </c>
      <c r="K3" t="s">
        <v>123</v>
      </c>
      <c r="L3">
        <v>14</v>
      </c>
      <c r="M3">
        <v>469</v>
      </c>
      <c r="N3" t="s">
        <v>208</v>
      </c>
      <c r="O3" t="s">
        <v>129</v>
      </c>
      <c r="P3" t="s">
        <v>131</v>
      </c>
      <c r="Q3" t="s">
        <v>209</v>
      </c>
      <c r="R3">
        <v>3</v>
      </c>
      <c r="S3">
        <v>8</v>
      </c>
    </row>
    <row r="4" spans="1:19" x14ac:dyDescent="0.35">
      <c r="A4" t="s">
        <v>151</v>
      </c>
      <c r="B4">
        <v>1</v>
      </c>
      <c r="C4" t="s">
        <v>129</v>
      </c>
      <c r="D4" t="s">
        <v>121</v>
      </c>
      <c r="E4" t="s">
        <v>125</v>
      </c>
      <c r="F4" t="s">
        <v>130</v>
      </c>
      <c r="G4" t="s">
        <v>210</v>
      </c>
      <c r="H4" t="s">
        <v>132</v>
      </c>
      <c r="I4" t="s">
        <v>122</v>
      </c>
      <c r="J4" t="s">
        <v>211</v>
      </c>
      <c r="K4" t="s">
        <v>125</v>
      </c>
      <c r="L4">
        <v>12</v>
      </c>
      <c r="M4">
        <v>460</v>
      </c>
      <c r="N4" t="s">
        <v>212</v>
      </c>
      <c r="O4" t="s">
        <v>147</v>
      </c>
      <c r="P4" t="s">
        <v>121</v>
      </c>
      <c r="Q4" t="s">
        <v>213</v>
      </c>
    </row>
    <row r="5" spans="1:19" x14ac:dyDescent="0.35">
      <c r="A5" t="s">
        <v>152</v>
      </c>
      <c r="B5">
        <v>1</v>
      </c>
      <c r="C5" t="s">
        <v>129</v>
      </c>
      <c r="D5" t="s">
        <v>121</v>
      </c>
      <c r="E5" t="s">
        <v>125</v>
      </c>
      <c r="F5" t="s">
        <v>130</v>
      </c>
      <c r="G5" t="s">
        <v>123</v>
      </c>
      <c r="H5" t="s">
        <v>127</v>
      </c>
      <c r="I5" t="s">
        <v>146</v>
      </c>
      <c r="J5" t="s">
        <v>128</v>
      </c>
      <c r="K5" t="s">
        <v>121</v>
      </c>
      <c r="L5">
        <v>12</v>
      </c>
      <c r="M5">
        <v>451</v>
      </c>
      <c r="N5" t="s">
        <v>214</v>
      </c>
      <c r="O5" t="s">
        <v>125</v>
      </c>
      <c r="P5" t="s">
        <v>124</v>
      </c>
      <c r="Q5" t="s">
        <v>215</v>
      </c>
      <c r="R5" t="s">
        <v>216</v>
      </c>
      <c r="S5">
        <v>50</v>
      </c>
    </row>
    <row r="6" spans="1:19" x14ac:dyDescent="0.35">
      <c r="A6" t="s">
        <v>153</v>
      </c>
      <c r="B6">
        <v>1</v>
      </c>
      <c r="C6" t="s">
        <v>131</v>
      </c>
      <c r="D6" t="s">
        <v>121</v>
      </c>
      <c r="E6" t="s">
        <v>125</v>
      </c>
      <c r="F6" t="s">
        <v>130</v>
      </c>
      <c r="G6" t="s">
        <v>123</v>
      </c>
      <c r="H6" t="s">
        <v>127</v>
      </c>
      <c r="I6" t="s">
        <v>146</v>
      </c>
      <c r="J6" t="s">
        <v>128</v>
      </c>
      <c r="K6" t="s">
        <v>130</v>
      </c>
      <c r="L6">
        <v>10</v>
      </c>
      <c r="M6">
        <v>462</v>
      </c>
      <c r="N6" t="s">
        <v>217</v>
      </c>
      <c r="O6" t="s">
        <v>218</v>
      </c>
      <c r="P6" t="s">
        <v>130</v>
      </c>
      <c r="Q6" t="s">
        <v>219</v>
      </c>
      <c r="R6" t="s">
        <v>105</v>
      </c>
      <c r="S6">
        <v>50</v>
      </c>
    </row>
    <row r="7" spans="1:19" x14ac:dyDescent="0.35">
      <c r="A7" t="s">
        <v>154</v>
      </c>
      <c r="B7">
        <v>1</v>
      </c>
      <c r="C7" t="s">
        <v>131</v>
      </c>
      <c r="D7" t="s">
        <v>121</v>
      </c>
      <c r="E7" t="s">
        <v>125</v>
      </c>
      <c r="F7" t="s">
        <v>130</v>
      </c>
      <c r="G7" t="s">
        <v>123</v>
      </c>
      <c r="H7" t="s">
        <v>132</v>
      </c>
      <c r="I7" t="s">
        <v>146</v>
      </c>
      <c r="J7" t="s">
        <v>128</v>
      </c>
      <c r="K7" t="s">
        <v>132</v>
      </c>
      <c r="L7">
        <v>7</v>
      </c>
      <c r="M7">
        <v>431</v>
      </c>
      <c r="N7" t="s">
        <v>220</v>
      </c>
      <c r="O7" t="s">
        <v>123</v>
      </c>
      <c r="P7" t="s">
        <v>210</v>
      </c>
      <c r="Q7" t="s">
        <v>221</v>
      </c>
      <c r="R7" t="s">
        <v>48</v>
      </c>
      <c r="S7">
        <v>50</v>
      </c>
    </row>
    <row r="8" spans="1:19" x14ac:dyDescent="0.35">
      <c r="A8" t="s">
        <v>155</v>
      </c>
      <c r="B8">
        <v>1</v>
      </c>
      <c r="C8" t="s">
        <v>129</v>
      </c>
      <c r="D8" t="s">
        <v>147</v>
      </c>
      <c r="E8" t="s">
        <v>125</v>
      </c>
      <c r="F8" t="s">
        <v>130</v>
      </c>
      <c r="G8" t="s">
        <v>123</v>
      </c>
      <c r="H8" t="s">
        <v>132</v>
      </c>
      <c r="I8" t="s">
        <v>146</v>
      </c>
      <c r="J8" t="s">
        <v>211</v>
      </c>
      <c r="K8" t="s">
        <v>146</v>
      </c>
      <c r="L8">
        <v>10</v>
      </c>
      <c r="M8">
        <v>441</v>
      </c>
      <c r="N8" t="s">
        <v>222</v>
      </c>
      <c r="O8" t="s">
        <v>127</v>
      </c>
      <c r="P8" t="s">
        <v>132</v>
      </c>
      <c r="Q8" t="s">
        <v>223</v>
      </c>
    </row>
    <row r="9" spans="1:19" x14ac:dyDescent="0.35">
      <c r="A9" t="s">
        <v>156</v>
      </c>
      <c r="B9">
        <v>1</v>
      </c>
      <c r="C9" t="s">
        <v>131</v>
      </c>
      <c r="D9" t="s">
        <v>121</v>
      </c>
      <c r="E9" t="s">
        <v>125</v>
      </c>
      <c r="F9" t="s">
        <v>130</v>
      </c>
      <c r="G9" t="s">
        <v>123</v>
      </c>
      <c r="H9" t="s">
        <v>132</v>
      </c>
      <c r="I9" t="s">
        <v>146</v>
      </c>
      <c r="J9" t="s">
        <v>128</v>
      </c>
      <c r="K9" t="s">
        <v>125</v>
      </c>
      <c r="L9">
        <v>16</v>
      </c>
      <c r="M9">
        <v>515</v>
      </c>
      <c r="N9" t="s">
        <v>224</v>
      </c>
      <c r="O9" t="s">
        <v>146</v>
      </c>
      <c r="P9" t="s">
        <v>122</v>
      </c>
      <c r="Q9" t="s">
        <v>225</v>
      </c>
    </row>
    <row r="10" spans="1:19" x14ac:dyDescent="0.35">
      <c r="A10" t="s">
        <v>157</v>
      </c>
      <c r="B10">
        <v>1</v>
      </c>
      <c r="C10" t="s">
        <v>131</v>
      </c>
      <c r="D10" t="s">
        <v>121</v>
      </c>
      <c r="E10" t="s">
        <v>125</v>
      </c>
      <c r="F10" t="s">
        <v>130</v>
      </c>
      <c r="G10" t="s">
        <v>123</v>
      </c>
      <c r="H10" t="s">
        <v>127</v>
      </c>
      <c r="I10" t="s">
        <v>122</v>
      </c>
      <c r="J10" t="s">
        <v>128</v>
      </c>
      <c r="K10" t="s">
        <v>123</v>
      </c>
      <c r="L10">
        <v>5</v>
      </c>
      <c r="M10">
        <v>453</v>
      </c>
      <c r="N10" t="s">
        <v>226</v>
      </c>
      <c r="O10" t="s">
        <v>128</v>
      </c>
      <c r="P10" t="s">
        <v>211</v>
      </c>
      <c r="Q10" t="s">
        <v>227</v>
      </c>
    </row>
    <row r="11" spans="1:19" x14ac:dyDescent="0.35">
      <c r="A11" t="s">
        <v>158</v>
      </c>
      <c r="B11">
        <v>1</v>
      </c>
      <c r="C11" t="s">
        <v>129</v>
      </c>
      <c r="D11" t="s">
        <v>121</v>
      </c>
      <c r="E11" t="s">
        <v>125</v>
      </c>
      <c r="F11" t="s">
        <v>130</v>
      </c>
      <c r="G11" t="s">
        <v>123</v>
      </c>
      <c r="H11" t="s">
        <v>127</v>
      </c>
      <c r="I11" t="s">
        <v>146</v>
      </c>
      <c r="J11" t="s">
        <v>128</v>
      </c>
      <c r="K11" t="s">
        <v>121</v>
      </c>
      <c r="L11">
        <v>14</v>
      </c>
      <c r="M11">
        <v>487</v>
      </c>
    </row>
    <row r="12" spans="1:19" x14ac:dyDescent="0.35">
      <c r="A12" t="s">
        <v>228</v>
      </c>
      <c r="B12">
        <v>1</v>
      </c>
      <c r="C12" t="s">
        <v>131</v>
      </c>
      <c r="D12" t="s">
        <v>121</v>
      </c>
      <c r="E12" t="s">
        <v>125</v>
      </c>
      <c r="F12" t="s">
        <v>130</v>
      </c>
      <c r="G12" t="s">
        <v>123</v>
      </c>
      <c r="H12" t="s">
        <v>127</v>
      </c>
      <c r="I12" t="s">
        <v>146</v>
      </c>
      <c r="J12" t="s">
        <v>128</v>
      </c>
      <c r="K12" t="s">
        <v>123</v>
      </c>
      <c r="L12">
        <v>16</v>
      </c>
      <c r="M12">
        <v>496</v>
      </c>
    </row>
    <row r="13" spans="1:19" x14ac:dyDescent="0.35">
      <c r="A13" t="s">
        <v>159</v>
      </c>
      <c r="B13">
        <v>1</v>
      </c>
      <c r="C13" t="s">
        <v>129</v>
      </c>
      <c r="D13" t="s">
        <v>121</v>
      </c>
      <c r="E13" t="s">
        <v>125</v>
      </c>
      <c r="F13" t="s">
        <v>130</v>
      </c>
      <c r="G13" t="s">
        <v>123</v>
      </c>
      <c r="H13" t="s">
        <v>127</v>
      </c>
      <c r="I13" t="s">
        <v>122</v>
      </c>
      <c r="J13" t="s">
        <v>128</v>
      </c>
      <c r="K13" t="s">
        <v>125</v>
      </c>
      <c r="L13">
        <v>10</v>
      </c>
      <c r="M13">
        <v>448</v>
      </c>
    </row>
    <row r="14" spans="1:19" x14ac:dyDescent="0.35">
      <c r="A14" t="s">
        <v>160</v>
      </c>
      <c r="B14">
        <v>1</v>
      </c>
      <c r="C14" t="s">
        <v>131</v>
      </c>
      <c r="D14" t="s">
        <v>121</v>
      </c>
      <c r="E14" t="s">
        <v>125</v>
      </c>
      <c r="F14" t="s">
        <v>218</v>
      </c>
      <c r="G14" t="s">
        <v>123</v>
      </c>
      <c r="H14" t="s">
        <v>132</v>
      </c>
      <c r="I14" t="s">
        <v>146</v>
      </c>
      <c r="J14" t="s">
        <v>128</v>
      </c>
      <c r="K14" t="s">
        <v>125</v>
      </c>
      <c r="L14">
        <v>15</v>
      </c>
      <c r="M14">
        <v>507</v>
      </c>
    </row>
    <row r="15" spans="1:19" x14ac:dyDescent="0.35">
      <c r="A15" t="s">
        <v>161</v>
      </c>
      <c r="B15">
        <v>1</v>
      </c>
      <c r="C15" t="s">
        <v>129</v>
      </c>
      <c r="D15" t="s">
        <v>121</v>
      </c>
      <c r="E15" t="s">
        <v>125</v>
      </c>
      <c r="F15" t="s">
        <v>130</v>
      </c>
      <c r="G15" t="s">
        <v>123</v>
      </c>
      <c r="H15" t="s">
        <v>132</v>
      </c>
      <c r="I15" t="s">
        <v>146</v>
      </c>
      <c r="J15" t="s">
        <v>128</v>
      </c>
      <c r="K15" t="s">
        <v>121</v>
      </c>
      <c r="L15">
        <v>11</v>
      </c>
      <c r="M15">
        <v>376</v>
      </c>
    </row>
    <row r="16" spans="1:19" x14ac:dyDescent="0.35">
      <c r="A16" t="s">
        <v>162</v>
      </c>
      <c r="B16">
        <v>1</v>
      </c>
      <c r="C16" t="s">
        <v>129</v>
      </c>
      <c r="D16" t="s">
        <v>121</v>
      </c>
      <c r="E16" t="s">
        <v>125</v>
      </c>
      <c r="F16" t="s">
        <v>130</v>
      </c>
      <c r="G16" t="s">
        <v>123</v>
      </c>
      <c r="H16" t="s">
        <v>127</v>
      </c>
      <c r="I16" t="s">
        <v>146</v>
      </c>
      <c r="J16" t="s">
        <v>211</v>
      </c>
      <c r="K16" t="s">
        <v>125</v>
      </c>
      <c r="L16">
        <v>9</v>
      </c>
      <c r="M16">
        <v>420</v>
      </c>
    </row>
    <row r="17" spans="1:13" x14ac:dyDescent="0.35">
      <c r="A17" t="s">
        <v>163</v>
      </c>
      <c r="B17">
        <v>1</v>
      </c>
      <c r="C17" t="s">
        <v>129</v>
      </c>
      <c r="D17" t="s">
        <v>121</v>
      </c>
      <c r="E17" t="s">
        <v>125</v>
      </c>
      <c r="F17" t="s">
        <v>130</v>
      </c>
      <c r="G17" t="s">
        <v>123</v>
      </c>
      <c r="H17" t="s">
        <v>132</v>
      </c>
      <c r="I17" t="s">
        <v>146</v>
      </c>
      <c r="J17" t="s">
        <v>128</v>
      </c>
      <c r="K17" t="s">
        <v>146</v>
      </c>
      <c r="L17">
        <v>12</v>
      </c>
      <c r="M17">
        <v>418</v>
      </c>
    </row>
    <row r="18" spans="1:13" x14ac:dyDescent="0.35">
      <c r="A18" t="s">
        <v>164</v>
      </c>
      <c r="B18">
        <v>1</v>
      </c>
      <c r="C18" t="s">
        <v>129</v>
      </c>
      <c r="D18" t="s">
        <v>147</v>
      </c>
      <c r="E18" t="s">
        <v>125</v>
      </c>
      <c r="F18" t="s">
        <v>130</v>
      </c>
      <c r="G18" t="s">
        <v>123</v>
      </c>
      <c r="H18" t="s">
        <v>127</v>
      </c>
      <c r="I18" t="s">
        <v>146</v>
      </c>
      <c r="J18" t="s">
        <v>128</v>
      </c>
      <c r="K18" t="s">
        <v>146</v>
      </c>
      <c r="L18">
        <v>15</v>
      </c>
      <c r="M18">
        <v>474</v>
      </c>
    </row>
    <row r="19" spans="1:13" x14ac:dyDescent="0.35">
      <c r="A19" t="s">
        <v>165</v>
      </c>
      <c r="B19">
        <v>1</v>
      </c>
      <c r="C19" t="s">
        <v>129</v>
      </c>
      <c r="D19" t="s">
        <v>147</v>
      </c>
      <c r="E19" t="s">
        <v>125</v>
      </c>
      <c r="F19" t="s">
        <v>218</v>
      </c>
      <c r="G19" t="s">
        <v>123</v>
      </c>
      <c r="H19" t="s">
        <v>127</v>
      </c>
      <c r="I19" t="s">
        <v>146</v>
      </c>
      <c r="J19" t="s">
        <v>128</v>
      </c>
      <c r="K19" t="s">
        <v>129</v>
      </c>
      <c r="L19">
        <v>12</v>
      </c>
      <c r="M19">
        <v>427</v>
      </c>
    </row>
    <row r="20" spans="1:13" x14ac:dyDescent="0.35">
      <c r="A20" t="s">
        <v>166</v>
      </c>
      <c r="B20">
        <v>1</v>
      </c>
      <c r="C20" t="s">
        <v>131</v>
      </c>
      <c r="D20" t="s">
        <v>121</v>
      </c>
      <c r="E20" t="s">
        <v>125</v>
      </c>
      <c r="F20" t="s">
        <v>130</v>
      </c>
      <c r="G20" t="s">
        <v>123</v>
      </c>
      <c r="H20" t="s">
        <v>132</v>
      </c>
      <c r="I20" t="s">
        <v>146</v>
      </c>
      <c r="J20" t="s">
        <v>128</v>
      </c>
      <c r="K20" t="s">
        <v>131</v>
      </c>
      <c r="L20">
        <v>11</v>
      </c>
      <c r="M20">
        <v>479</v>
      </c>
    </row>
    <row r="21" spans="1:13" x14ac:dyDescent="0.35">
      <c r="A21" t="s">
        <v>167</v>
      </c>
      <c r="B21">
        <v>1</v>
      </c>
      <c r="C21" t="s">
        <v>129</v>
      </c>
      <c r="D21" t="s">
        <v>121</v>
      </c>
      <c r="E21" t="s">
        <v>125</v>
      </c>
      <c r="F21" t="s">
        <v>130</v>
      </c>
      <c r="G21" t="s">
        <v>123</v>
      </c>
      <c r="H21" t="s">
        <v>127</v>
      </c>
      <c r="I21" t="s">
        <v>122</v>
      </c>
      <c r="J21" t="s">
        <v>128</v>
      </c>
      <c r="K21" t="s">
        <v>125</v>
      </c>
      <c r="L21">
        <v>5</v>
      </c>
      <c r="M21">
        <v>457</v>
      </c>
    </row>
    <row r="22" spans="1:13" x14ac:dyDescent="0.35">
      <c r="A22" t="s">
        <v>168</v>
      </c>
      <c r="B22">
        <v>1</v>
      </c>
      <c r="C22" t="s">
        <v>131</v>
      </c>
      <c r="D22" t="s">
        <v>121</v>
      </c>
      <c r="E22" t="s">
        <v>125</v>
      </c>
      <c r="F22" t="s">
        <v>218</v>
      </c>
      <c r="G22" t="s">
        <v>123</v>
      </c>
      <c r="H22" t="s">
        <v>132</v>
      </c>
      <c r="I22" t="s">
        <v>146</v>
      </c>
      <c r="J22" t="s">
        <v>128</v>
      </c>
      <c r="K22" t="s">
        <v>125</v>
      </c>
      <c r="L22">
        <v>13</v>
      </c>
      <c r="M22">
        <v>442</v>
      </c>
    </row>
    <row r="23" spans="1:13" x14ac:dyDescent="0.35">
      <c r="A23" t="s">
        <v>169</v>
      </c>
      <c r="B23">
        <v>1</v>
      </c>
      <c r="C23" t="s">
        <v>129</v>
      </c>
      <c r="D23" t="s">
        <v>121</v>
      </c>
      <c r="E23" t="s">
        <v>125</v>
      </c>
      <c r="F23" t="s">
        <v>218</v>
      </c>
      <c r="G23" t="s">
        <v>123</v>
      </c>
      <c r="H23" t="s">
        <v>132</v>
      </c>
      <c r="I23" t="s">
        <v>146</v>
      </c>
      <c r="J23" t="s">
        <v>211</v>
      </c>
      <c r="K23" t="s">
        <v>125</v>
      </c>
      <c r="L23">
        <v>15</v>
      </c>
      <c r="M23">
        <v>488</v>
      </c>
    </row>
    <row r="24" spans="1:13" x14ac:dyDescent="0.35">
      <c r="A24" t="s">
        <v>170</v>
      </c>
      <c r="B24">
        <v>1</v>
      </c>
      <c r="C24" t="s">
        <v>129</v>
      </c>
      <c r="D24" t="s">
        <v>121</v>
      </c>
      <c r="E24" t="s">
        <v>125</v>
      </c>
      <c r="F24" t="s">
        <v>130</v>
      </c>
      <c r="G24" t="s">
        <v>123</v>
      </c>
      <c r="H24" t="s">
        <v>127</v>
      </c>
      <c r="I24" t="s">
        <v>146</v>
      </c>
      <c r="J24" t="s">
        <v>128</v>
      </c>
      <c r="K24" t="s">
        <v>128</v>
      </c>
      <c r="L24">
        <v>13</v>
      </c>
      <c r="M24">
        <v>452</v>
      </c>
    </row>
    <row r="25" spans="1:13" x14ac:dyDescent="0.35">
      <c r="A25" t="s">
        <v>171</v>
      </c>
      <c r="B25">
        <v>1</v>
      </c>
      <c r="C25" t="s">
        <v>129</v>
      </c>
      <c r="D25" t="s">
        <v>121</v>
      </c>
      <c r="E25" t="s">
        <v>125</v>
      </c>
      <c r="F25" t="s">
        <v>218</v>
      </c>
      <c r="G25" t="s">
        <v>123</v>
      </c>
      <c r="H25" t="s">
        <v>127</v>
      </c>
      <c r="I25" t="s">
        <v>146</v>
      </c>
      <c r="J25" t="s">
        <v>128</v>
      </c>
      <c r="K25" t="s">
        <v>125</v>
      </c>
      <c r="L25">
        <v>10</v>
      </c>
      <c r="M25">
        <v>460</v>
      </c>
    </row>
    <row r="26" spans="1:13" x14ac:dyDescent="0.35">
      <c r="A26" t="s">
        <v>172</v>
      </c>
      <c r="B26">
        <v>1</v>
      </c>
      <c r="C26" t="s">
        <v>129</v>
      </c>
      <c r="D26" t="s">
        <v>121</v>
      </c>
      <c r="E26" t="s">
        <v>125</v>
      </c>
      <c r="F26" t="s">
        <v>130</v>
      </c>
      <c r="G26" t="s">
        <v>123</v>
      </c>
      <c r="H26" t="s">
        <v>127</v>
      </c>
      <c r="I26" t="s">
        <v>146</v>
      </c>
      <c r="J26" t="s">
        <v>128</v>
      </c>
      <c r="K26" t="s">
        <v>123</v>
      </c>
      <c r="L26">
        <v>12</v>
      </c>
      <c r="M26">
        <v>425</v>
      </c>
    </row>
    <row r="27" spans="1:13" x14ac:dyDescent="0.35">
      <c r="A27" t="s">
        <v>173</v>
      </c>
      <c r="B27">
        <v>1</v>
      </c>
      <c r="C27" t="s">
        <v>129</v>
      </c>
      <c r="D27" t="s">
        <v>121</v>
      </c>
      <c r="E27" t="s">
        <v>125</v>
      </c>
      <c r="F27" t="s">
        <v>218</v>
      </c>
      <c r="G27" t="s">
        <v>123</v>
      </c>
      <c r="H27" t="s">
        <v>132</v>
      </c>
      <c r="I27" t="s">
        <v>146</v>
      </c>
      <c r="J27" t="s">
        <v>128</v>
      </c>
      <c r="K27" t="s">
        <v>125</v>
      </c>
      <c r="L27">
        <v>14</v>
      </c>
      <c r="M27">
        <v>410</v>
      </c>
    </row>
    <row r="28" spans="1:13" x14ac:dyDescent="0.35">
      <c r="A28" t="s">
        <v>174</v>
      </c>
      <c r="B28">
        <v>1</v>
      </c>
      <c r="C28" t="s">
        <v>131</v>
      </c>
      <c r="D28" t="s">
        <v>121</v>
      </c>
      <c r="E28" t="s">
        <v>125</v>
      </c>
      <c r="F28" t="s">
        <v>130</v>
      </c>
      <c r="G28" t="s">
        <v>123</v>
      </c>
      <c r="H28" t="s">
        <v>127</v>
      </c>
      <c r="I28" t="s">
        <v>146</v>
      </c>
      <c r="J28" t="s">
        <v>128</v>
      </c>
      <c r="K28" t="s">
        <v>146</v>
      </c>
      <c r="L28">
        <v>13</v>
      </c>
      <c r="M28">
        <v>426</v>
      </c>
    </row>
    <row r="29" spans="1:13" x14ac:dyDescent="0.35">
      <c r="A29" t="s">
        <v>175</v>
      </c>
      <c r="B29">
        <v>1</v>
      </c>
      <c r="C29" t="s">
        <v>129</v>
      </c>
      <c r="D29" t="s">
        <v>147</v>
      </c>
      <c r="E29" t="s">
        <v>124</v>
      </c>
      <c r="F29" t="s">
        <v>130</v>
      </c>
      <c r="G29" t="s">
        <v>210</v>
      </c>
      <c r="H29" t="s">
        <v>127</v>
      </c>
      <c r="I29" t="s">
        <v>122</v>
      </c>
      <c r="J29" t="s">
        <v>211</v>
      </c>
      <c r="K29" t="s">
        <v>129</v>
      </c>
      <c r="L29">
        <v>0</v>
      </c>
      <c r="M29">
        <v>313</v>
      </c>
    </row>
    <row r="30" spans="1:13" x14ac:dyDescent="0.35">
      <c r="A30" t="s">
        <v>176</v>
      </c>
      <c r="B30">
        <v>1</v>
      </c>
      <c r="C30" t="s">
        <v>129</v>
      </c>
      <c r="D30" t="s">
        <v>121</v>
      </c>
      <c r="E30" t="s">
        <v>125</v>
      </c>
      <c r="F30" t="s">
        <v>130</v>
      </c>
      <c r="G30" t="s">
        <v>123</v>
      </c>
      <c r="H30" t="s">
        <v>127</v>
      </c>
      <c r="I30" t="s">
        <v>146</v>
      </c>
      <c r="J30" t="s">
        <v>128</v>
      </c>
      <c r="K30" t="s">
        <v>125</v>
      </c>
      <c r="L30">
        <v>13</v>
      </c>
      <c r="M30">
        <v>453</v>
      </c>
    </row>
    <row r="31" spans="1:13" x14ac:dyDescent="0.35">
      <c r="A31" t="s">
        <v>177</v>
      </c>
      <c r="B31">
        <v>1</v>
      </c>
      <c r="C31" t="s">
        <v>129</v>
      </c>
      <c r="D31" t="s">
        <v>121</v>
      </c>
      <c r="E31" t="s">
        <v>125</v>
      </c>
      <c r="F31" t="s">
        <v>130</v>
      </c>
      <c r="G31" t="s">
        <v>123</v>
      </c>
      <c r="H31" t="s">
        <v>127</v>
      </c>
      <c r="I31" t="s">
        <v>146</v>
      </c>
      <c r="J31" t="s">
        <v>128</v>
      </c>
      <c r="K31" t="s">
        <v>123</v>
      </c>
      <c r="L31">
        <v>14</v>
      </c>
      <c r="M31">
        <v>460</v>
      </c>
    </row>
    <row r="32" spans="1:13" x14ac:dyDescent="0.35">
      <c r="A32" t="s">
        <v>178</v>
      </c>
      <c r="B32">
        <v>1</v>
      </c>
      <c r="C32" t="s">
        <v>131</v>
      </c>
      <c r="D32" t="s">
        <v>121</v>
      </c>
      <c r="E32" t="s">
        <v>124</v>
      </c>
      <c r="F32" t="s">
        <v>218</v>
      </c>
      <c r="G32" t="s">
        <v>123</v>
      </c>
      <c r="H32" t="s">
        <v>132</v>
      </c>
      <c r="I32" t="s">
        <v>146</v>
      </c>
      <c r="J32" t="s">
        <v>128</v>
      </c>
      <c r="K32" t="s">
        <v>121</v>
      </c>
      <c r="L32">
        <v>8</v>
      </c>
      <c r="M32">
        <v>414</v>
      </c>
    </row>
    <row r="33" spans="1:13" x14ac:dyDescent="0.35">
      <c r="A33" t="s">
        <v>179</v>
      </c>
      <c r="B33">
        <v>1</v>
      </c>
      <c r="C33" t="s">
        <v>129</v>
      </c>
      <c r="D33" t="s">
        <v>121</v>
      </c>
      <c r="E33" t="s">
        <v>125</v>
      </c>
      <c r="F33" t="s">
        <v>218</v>
      </c>
      <c r="G33" t="s">
        <v>123</v>
      </c>
      <c r="H33" t="s">
        <v>132</v>
      </c>
      <c r="I33" t="s">
        <v>146</v>
      </c>
      <c r="J33" t="s">
        <v>128</v>
      </c>
      <c r="K33" t="s">
        <v>123</v>
      </c>
      <c r="L33">
        <v>9</v>
      </c>
      <c r="M33">
        <v>459</v>
      </c>
    </row>
    <row r="34" spans="1:13" x14ac:dyDescent="0.35">
      <c r="A34" t="s">
        <v>180</v>
      </c>
      <c r="B34">
        <v>1</v>
      </c>
      <c r="C34" t="s">
        <v>131</v>
      </c>
      <c r="D34" t="s">
        <v>121</v>
      </c>
      <c r="E34" t="s">
        <v>125</v>
      </c>
      <c r="F34" t="s">
        <v>130</v>
      </c>
      <c r="G34" t="s">
        <v>123</v>
      </c>
      <c r="H34" t="s">
        <v>132</v>
      </c>
      <c r="I34" t="s">
        <v>146</v>
      </c>
      <c r="J34" t="s">
        <v>128</v>
      </c>
      <c r="K34" t="s">
        <v>125</v>
      </c>
      <c r="L34">
        <v>10</v>
      </c>
      <c r="M34">
        <v>461</v>
      </c>
    </row>
    <row r="35" spans="1:13" x14ac:dyDescent="0.35">
      <c r="A35" t="s">
        <v>181</v>
      </c>
      <c r="B35">
        <v>1</v>
      </c>
      <c r="C35" t="s">
        <v>131</v>
      </c>
      <c r="D35" t="s">
        <v>121</v>
      </c>
      <c r="E35" t="s">
        <v>125</v>
      </c>
      <c r="F35" t="s">
        <v>130</v>
      </c>
      <c r="G35" t="s">
        <v>123</v>
      </c>
      <c r="H35" t="s">
        <v>127</v>
      </c>
      <c r="I35" t="s">
        <v>146</v>
      </c>
      <c r="J35" t="s">
        <v>211</v>
      </c>
      <c r="K35" t="s">
        <v>123</v>
      </c>
      <c r="L35">
        <v>15</v>
      </c>
      <c r="M35">
        <v>488</v>
      </c>
    </row>
    <row r="36" spans="1:13" x14ac:dyDescent="0.35">
      <c r="A36" t="s">
        <v>229</v>
      </c>
      <c r="B36">
        <v>1</v>
      </c>
      <c r="C36" t="s">
        <v>129</v>
      </c>
      <c r="D36" t="s">
        <v>121</v>
      </c>
      <c r="E36" t="s">
        <v>125</v>
      </c>
      <c r="F36" t="s">
        <v>130</v>
      </c>
      <c r="G36" t="s">
        <v>123</v>
      </c>
      <c r="H36" t="s">
        <v>127</v>
      </c>
      <c r="I36" t="s">
        <v>146</v>
      </c>
      <c r="J36" t="s">
        <v>128</v>
      </c>
      <c r="K36" t="s">
        <v>121</v>
      </c>
      <c r="L36">
        <v>9</v>
      </c>
      <c r="M36">
        <v>448</v>
      </c>
    </row>
    <row r="37" spans="1:13" x14ac:dyDescent="0.35">
      <c r="A37" t="s">
        <v>182</v>
      </c>
      <c r="B37">
        <v>1</v>
      </c>
      <c r="C37" t="s">
        <v>131</v>
      </c>
      <c r="D37" t="s">
        <v>121</v>
      </c>
      <c r="E37" t="s">
        <v>125</v>
      </c>
      <c r="F37" t="s">
        <v>218</v>
      </c>
      <c r="G37" t="s">
        <v>123</v>
      </c>
      <c r="H37" t="s">
        <v>127</v>
      </c>
      <c r="I37" t="s">
        <v>146</v>
      </c>
      <c r="J37" t="s">
        <v>128</v>
      </c>
      <c r="K37" t="s">
        <v>125</v>
      </c>
      <c r="L37">
        <v>13</v>
      </c>
      <c r="M37">
        <v>428</v>
      </c>
    </row>
    <row r="38" spans="1:13" x14ac:dyDescent="0.35">
      <c r="A38" t="s">
        <v>183</v>
      </c>
      <c r="B38">
        <v>1</v>
      </c>
      <c r="C38" t="s">
        <v>129</v>
      </c>
      <c r="D38" t="s">
        <v>121</v>
      </c>
      <c r="E38" t="s">
        <v>125</v>
      </c>
      <c r="F38" t="s">
        <v>130</v>
      </c>
      <c r="G38" t="s">
        <v>123</v>
      </c>
      <c r="H38" t="s">
        <v>127</v>
      </c>
      <c r="I38" t="s">
        <v>146</v>
      </c>
      <c r="J38" t="s">
        <v>128</v>
      </c>
      <c r="K38" t="s">
        <v>125</v>
      </c>
      <c r="L38">
        <v>14</v>
      </c>
      <c r="M38">
        <v>460</v>
      </c>
    </row>
    <row r="39" spans="1:13" x14ac:dyDescent="0.35">
      <c r="A39" t="s">
        <v>184</v>
      </c>
      <c r="B39">
        <v>1</v>
      </c>
      <c r="C39" t="s">
        <v>129</v>
      </c>
      <c r="D39" t="s">
        <v>121</v>
      </c>
      <c r="E39" t="s">
        <v>125</v>
      </c>
      <c r="F39" t="s">
        <v>130</v>
      </c>
      <c r="G39" t="s">
        <v>123</v>
      </c>
      <c r="H39" t="s">
        <v>127</v>
      </c>
      <c r="I39" t="s">
        <v>146</v>
      </c>
      <c r="J39" t="s">
        <v>128</v>
      </c>
      <c r="K39" t="s">
        <v>125</v>
      </c>
      <c r="L39">
        <v>12</v>
      </c>
      <c r="M39">
        <v>510</v>
      </c>
    </row>
    <row r="40" spans="1:13" x14ac:dyDescent="0.35">
      <c r="A40" t="s">
        <v>185</v>
      </c>
      <c r="B40">
        <v>1</v>
      </c>
      <c r="C40" t="s">
        <v>131</v>
      </c>
      <c r="D40" t="s">
        <v>121</v>
      </c>
      <c r="E40" t="s">
        <v>125</v>
      </c>
      <c r="F40" t="s">
        <v>130</v>
      </c>
      <c r="G40" t="s">
        <v>123</v>
      </c>
      <c r="H40" t="s">
        <v>127</v>
      </c>
      <c r="I40" t="s">
        <v>146</v>
      </c>
      <c r="J40" t="s">
        <v>128</v>
      </c>
      <c r="K40" t="s">
        <v>125</v>
      </c>
      <c r="L40">
        <v>13</v>
      </c>
      <c r="M40">
        <v>428</v>
      </c>
    </row>
    <row r="41" spans="1:13" x14ac:dyDescent="0.35">
      <c r="A41" t="s">
        <v>186</v>
      </c>
      <c r="B41">
        <v>1</v>
      </c>
      <c r="C41" t="s">
        <v>131</v>
      </c>
      <c r="D41" t="s">
        <v>121</v>
      </c>
      <c r="E41" t="s">
        <v>125</v>
      </c>
      <c r="F41" t="s">
        <v>130</v>
      </c>
      <c r="G41" t="s">
        <v>123</v>
      </c>
      <c r="H41" t="s">
        <v>132</v>
      </c>
      <c r="I41" t="s">
        <v>146</v>
      </c>
      <c r="J41" t="s">
        <v>128</v>
      </c>
      <c r="K41" t="s">
        <v>125</v>
      </c>
      <c r="L41">
        <v>10</v>
      </c>
      <c r="M41">
        <v>458</v>
      </c>
    </row>
    <row r="42" spans="1:13" x14ac:dyDescent="0.35">
      <c r="A42" t="s">
        <v>187</v>
      </c>
      <c r="B42">
        <v>1</v>
      </c>
      <c r="C42" t="s">
        <v>129</v>
      </c>
      <c r="D42" t="s">
        <v>121</v>
      </c>
      <c r="E42" t="s">
        <v>125</v>
      </c>
      <c r="F42" t="s">
        <v>130</v>
      </c>
      <c r="G42" t="s">
        <v>123</v>
      </c>
      <c r="H42" t="s">
        <v>127</v>
      </c>
      <c r="I42" t="s">
        <v>146</v>
      </c>
      <c r="J42" t="s">
        <v>128</v>
      </c>
      <c r="K42" t="s">
        <v>130</v>
      </c>
      <c r="L42">
        <v>8</v>
      </c>
      <c r="M42">
        <v>424</v>
      </c>
    </row>
    <row r="43" spans="1:13" x14ac:dyDescent="0.35">
      <c r="A43" t="s">
        <v>188</v>
      </c>
      <c r="B43">
        <v>1</v>
      </c>
      <c r="C43" t="s">
        <v>129</v>
      </c>
      <c r="D43" t="s">
        <v>147</v>
      </c>
      <c r="E43" t="s">
        <v>125</v>
      </c>
      <c r="F43" t="s">
        <v>130</v>
      </c>
      <c r="G43" t="s">
        <v>210</v>
      </c>
      <c r="H43" t="s">
        <v>127</v>
      </c>
      <c r="I43" t="s">
        <v>122</v>
      </c>
      <c r="J43" t="s">
        <v>211</v>
      </c>
      <c r="K43" t="s">
        <v>125</v>
      </c>
      <c r="L43">
        <v>4</v>
      </c>
      <c r="M43">
        <v>282</v>
      </c>
    </row>
    <row r="44" spans="1:13" x14ac:dyDescent="0.35">
      <c r="A44" t="s">
        <v>189</v>
      </c>
      <c r="B44">
        <v>1</v>
      </c>
      <c r="C44" t="s">
        <v>131</v>
      </c>
      <c r="D44" t="s">
        <v>121</v>
      </c>
      <c r="E44" t="s">
        <v>125</v>
      </c>
      <c r="F44" t="s">
        <v>130</v>
      </c>
      <c r="G44" t="s">
        <v>123</v>
      </c>
      <c r="H44" t="s">
        <v>132</v>
      </c>
      <c r="I44" t="s">
        <v>122</v>
      </c>
      <c r="J44" t="s">
        <v>128</v>
      </c>
      <c r="K44" t="s">
        <v>125</v>
      </c>
      <c r="L44">
        <v>12</v>
      </c>
      <c r="M44">
        <v>504</v>
      </c>
    </row>
    <row r="45" spans="1:13" x14ac:dyDescent="0.35">
      <c r="A45" t="s">
        <v>144</v>
      </c>
      <c r="B45">
        <v>1</v>
      </c>
      <c r="C45" t="s">
        <v>129</v>
      </c>
      <c r="D45" t="s">
        <v>121</v>
      </c>
      <c r="E45" t="s">
        <v>125</v>
      </c>
      <c r="F45" t="s">
        <v>130</v>
      </c>
      <c r="G45" t="s">
        <v>123</v>
      </c>
      <c r="H45" t="s">
        <v>127</v>
      </c>
      <c r="I45" t="s">
        <v>146</v>
      </c>
      <c r="J45" t="s">
        <v>128</v>
      </c>
      <c r="K45" t="s">
        <v>125</v>
      </c>
      <c r="L45">
        <v>15</v>
      </c>
      <c r="M45">
        <v>462</v>
      </c>
    </row>
    <row r="46" spans="1:13" x14ac:dyDescent="0.35">
      <c r="A46" t="s">
        <v>190</v>
      </c>
      <c r="B46">
        <v>1</v>
      </c>
      <c r="C46" t="s">
        <v>129</v>
      </c>
      <c r="D46" t="s">
        <v>121</v>
      </c>
      <c r="E46" t="s">
        <v>125</v>
      </c>
      <c r="F46" t="s">
        <v>130</v>
      </c>
      <c r="G46" t="s">
        <v>123</v>
      </c>
      <c r="H46" t="s">
        <v>132</v>
      </c>
      <c r="I46" t="s">
        <v>146</v>
      </c>
      <c r="J46" t="s">
        <v>128</v>
      </c>
      <c r="K46" t="s">
        <v>125</v>
      </c>
      <c r="L46">
        <v>12</v>
      </c>
      <c r="M46">
        <v>404</v>
      </c>
    </row>
    <row r="47" spans="1:13" x14ac:dyDescent="0.35">
      <c r="A47" t="s">
        <v>191</v>
      </c>
      <c r="B47">
        <v>1</v>
      </c>
      <c r="C47" t="s">
        <v>131</v>
      </c>
      <c r="D47" t="s">
        <v>121</v>
      </c>
      <c r="E47" t="s">
        <v>125</v>
      </c>
      <c r="F47" t="s">
        <v>130</v>
      </c>
      <c r="G47" t="s">
        <v>123</v>
      </c>
      <c r="H47" t="s">
        <v>127</v>
      </c>
      <c r="I47" t="s">
        <v>146</v>
      </c>
      <c r="J47" t="s">
        <v>128</v>
      </c>
      <c r="K47" t="s">
        <v>123</v>
      </c>
      <c r="L47">
        <v>16</v>
      </c>
      <c r="M47">
        <v>496</v>
      </c>
    </row>
    <row r="48" spans="1:13" x14ac:dyDescent="0.35">
      <c r="A48" t="s">
        <v>192</v>
      </c>
      <c r="B48">
        <v>1</v>
      </c>
      <c r="C48" t="s">
        <v>131</v>
      </c>
      <c r="D48" t="s">
        <v>121</v>
      </c>
      <c r="E48" t="s">
        <v>125</v>
      </c>
      <c r="F48" t="s">
        <v>130</v>
      </c>
      <c r="G48" t="s">
        <v>123</v>
      </c>
      <c r="H48" t="s">
        <v>127</v>
      </c>
      <c r="I48" t="s">
        <v>146</v>
      </c>
      <c r="J48" t="s">
        <v>128</v>
      </c>
      <c r="K48" t="s">
        <v>127</v>
      </c>
      <c r="L48">
        <v>14</v>
      </c>
      <c r="M48">
        <v>458</v>
      </c>
    </row>
    <row r="49" spans="1:13" x14ac:dyDescent="0.35">
      <c r="A49" t="s">
        <v>193</v>
      </c>
      <c r="B49">
        <v>1</v>
      </c>
      <c r="C49" t="s">
        <v>129</v>
      </c>
      <c r="D49" t="s">
        <v>121</v>
      </c>
      <c r="E49" t="s">
        <v>125</v>
      </c>
      <c r="F49" t="s">
        <v>130</v>
      </c>
      <c r="G49" t="s">
        <v>123</v>
      </c>
      <c r="H49" t="s">
        <v>127</v>
      </c>
      <c r="I49" t="s">
        <v>122</v>
      </c>
      <c r="J49" t="s">
        <v>128</v>
      </c>
      <c r="K49" t="s">
        <v>125</v>
      </c>
      <c r="L49">
        <v>5</v>
      </c>
      <c r="M49">
        <v>451</v>
      </c>
    </row>
    <row r="50" spans="1:13" x14ac:dyDescent="0.35">
      <c r="A50" t="s">
        <v>194</v>
      </c>
      <c r="B50">
        <v>1</v>
      </c>
      <c r="C50" t="s">
        <v>131</v>
      </c>
      <c r="D50" t="s">
        <v>121</v>
      </c>
      <c r="E50" t="s">
        <v>125</v>
      </c>
      <c r="F50" t="s">
        <v>130</v>
      </c>
      <c r="G50" t="s">
        <v>123</v>
      </c>
      <c r="H50" t="s">
        <v>127</v>
      </c>
      <c r="I50" t="s">
        <v>122</v>
      </c>
      <c r="J50" t="s">
        <v>128</v>
      </c>
      <c r="K50" t="s">
        <v>123</v>
      </c>
      <c r="L50">
        <v>12</v>
      </c>
      <c r="M50">
        <v>398</v>
      </c>
    </row>
    <row r="51" spans="1:13" x14ac:dyDescent="0.35">
      <c r="A51" t="s">
        <v>195</v>
      </c>
      <c r="B51">
        <v>1</v>
      </c>
      <c r="C51" t="s">
        <v>131</v>
      </c>
      <c r="D51" t="s">
        <v>121</v>
      </c>
      <c r="E51" t="s">
        <v>125</v>
      </c>
      <c r="F51" t="s">
        <v>130</v>
      </c>
      <c r="G51" t="s">
        <v>123</v>
      </c>
      <c r="H51" t="s">
        <v>127</v>
      </c>
      <c r="I51" t="s">
        <v>146</v>
      </c>
      <c r="J51" t="s">
        <v>211</v>
      </c>
      <c r="K51" t="s">
        <v>125</v>
      </c>
      <c r="L51">
        <v>14</v>
      </c>
      <c r="M51">
        <v>436</v>
      </c>
    </row>
    <row r="52" spans="1:13" x14ac:dyDescent="0.35">
      <c r="A52" t="s">
        <v>230</v>
      </c>
      <c r="B52">
        <v>1</v>
      </c>
      <c r="C52" t="s">
        <v>129</v>
      </c>
      <c r="D52" t="s">
        <v>121</v>
      </c>
      <c r="E52" t="s">
        <v>125</v>
      </c>
      <c r="F52" t="s">
        <v>130</v>
      </c>
      <c r="G52" t="s">
        <v>123</v>
      </c>
      <c r="H52" t="s">
        <v>127</v>
      </c>
      <c r="I52" t="s">
        <v>146</v>
      </c>
      <c r="J52" t="s">
        <v>128</v>
      </c>
      <c r="K52" t="s">
        <v>125</v>
      </c>
      <c r="L52">
        <v>15</v>
      </c>
      <c r="M52">
        <v>462</v>
      </c>
    </row>
    <row r="53" spans="1:13" x14ac:dyDescent="0.35">
      <c r="A53" t="s">
        <v>231</v>
      </c>
      <c r="B53">
        <v>0</v>
      </c>
      <c r="C53" t="s">
        <v>84</v>
      </c>
      <c r="D53" t="s">
        <v>84</v>
      </c>
      <c r="E53" t="s">
        <v>84</v>
      </c>
      <c r="F53" t="s">
        <v>84</v>
      </c>
      <c r="G53" t="s">
        <v>84</v>
      </c>
      <c r="H53" t="s">
        <v>84</v>
      </c>
      <c r="I53" t="s">
        <v>84</v>
      </c>
      <c r="J53" t="s">
        <v>84</v>
      </c>
      <c r="K53" t="s">
        <v>84</v>
      </c>
      <c r="L53" t="s">
        <v>84</v>
      </c>
      <c r="M53" t="s">
        <v>84</v>
      </c>
    </row>
    <row r="54" spans="1:13" x14ac:dyDescent="0.35">
      <c r="A54" t="s">
        <v>231</v>
      </c>
      <c r="B54">
        <v>0</v>
      </c>
      <c r="C54" t="s">
        <v>84</v>
      </c>
      <c r="D54" t="s">
        <v>84</v>
      </c>
      <c r="E54" t="s">
        <v>84</v>
      </c>
      <c r="F54" t="s">
        <v>84</v>
      </c>
      <c r="G54" t="s">
        <v>84</v>
      </c>
      <c r="H54" t="s">
        <v>84</v>
      </c>
      <c r="I54" t="s">
        <v>84</v>
      </c>
      <c r="J54" t="s">
        <v>84</v>
      </c>
      <c r="K54" t="s">
        <v>84</v>
      </c>
      <c r="L54" t="s">
        <v>84</v>
      </c>
      <c r="M54" t="s">
        <v>84</v>
      </c>
    </row>
    <row r="55" spans="1:13" x14ac:dyDescent="0.35">
      <c r="A55" t="s">
        <v>231</v>
      </c>
      <c r="B55">
        <v>0</v>
      </c>
      <c r="C55" t="s">
        <v>84</v>
      </c>
      <c r="D55" t="s">
        <v>84</v>
      </c>
      <c r="E55" t="s">
        <v>84</v>
      </c>
      <c r="F55" t="s">
        <v>84</v>
      </c>
      <c r="G55" t="s">
        <v>84</v>
      </c>
      <c r="H55" t="s">
        <v>84</v>
      </c>
      <c r="I55" t="s">
        <v>84</v>
      </c>
      <c r="J55" t="s">
        <v>84</v>
      </c>
      <c r="K55" t="s">
        <v>84</v>
      </c>
      <c r="L55" t="s">
        <v>84</v>
      </c>
      <c r="M55" t="s">
        <v>84</v>
      </c>
    </row>
    <row r="56" spans="1:13" x14ac:dyDescent="0.35">
      <c r="A56" t="s">
        <v>231</v>
      </c>
      <c r="B56">
        <v>0</v>
      </c>
      <c r="C56" t="s">
        <v>84</v>
      </c>
      <c r="D56" t="s">
        <v>84</v>
      </c>
      <c r="E56" t="s">
        <v>84</v>
      </c>
      <c r="F56" t="s">
        <v>84</v>
      </c>
      <c r="G56" t="s">
        <v>84</v>
      </c>
      <c r="H56" t="s">
        <v>84</v>
      </c>
      <c r="I56" t="s">
        <v>84</v>
      </c>
      <c r="J56" t="s">
        <v>84</v>
      </c>
      <c r="K56" t="s">
        <v>84</v>
      </c>
      <c r="L56" t="s">
        <v>84</v>
      </c>
      <c r="M56" t="s">
        <v>84</v>
      </c>
    </row>
    <row r="57" spans="1:13" x14ac:dyDescent="0.35">
      <c r="A57" t="s">
        <v>231</v>
      </c>
      <c r="B57">
        <v>0</v>
      </c>
      <c r="C57" t="s">
        <v>84</v>
      </c>
      <c r="D57" t="s">
        <v>84</v>
      </c>
      <c r="E57" t="s">
        <v>84</v>
      </c>
      <c r="F57" t="s">
        <v>84</v>
      </c>
      <c r="G57" t="s">
        <v>84</v>
      </c>
      <c r="H57" t="s">
        <v>84</v>
      </c>
      <c r="I57" t="s">
        <v>84</v>
      </c>
      <c r="J57" t="s">
        <v>84</v>
      </c>
      <c r="K57" t="s">
        <v>84</v>
      </c>
      <c r="L57" t="s">
        <v>84</v>
      </c>
      <c r="M57" t="s">
        <v>84</v>
      </c>
    </row>
    <row r="58" spans="1:13" x14ac:dyDescent="0.35">
      <c r="A58" t="s">
        <v>231</v>
      </c>
      <c r="B58">
        <v>0</v>
      </c>
      <c r="C58" t="s">
        <v>84</v>
      </c>
      <c r="D58" t="s">
        <v>84</v>
      </c>
      <c r="E58" t="s">
        <v>84</v>
      </c>
      <c r="F58" t="s">
        <v>84</v>
      </c>
      <c r="G58" t="s">
        <v>84</v>
      </c>
      <c r="H58" t="s">
        <v>84</v>
      </c>
      <c r="I58" t="s">
        <v>84</v>
      </c>
      <c r="J58" t="s">
        <v>84</v>
      </c>
      <c r="K58" t="s">
        <v>84</v>
      </c>
      <c r="L58" t="s">
        <v>84</v>
      </c>
      <c r="M58" t="s">
        <v>84</v>
      </c>
    </row>
    <row r="59" spans="1:13" x14ac:dyDescent="0.35">
      <c r="A59" t="s">
        <v>231</v>
      </c>
      <c r="B59">
        <v>0</v>
      </c>
      <c r="C59" t="s">
        <v>84</v>
      </c>
      <c r="D59" t="s">
        <v>84</v>
      </c>
      <c r="E59" t="s">
        <v>84</v>
      </c>
      <c r="F59" t="s">
        <v>84</v>
      </c>
      <c r="G59" t="s">
        <v>84</v>
      </c>
      <c r="H59" t="s">
        <v>84</v>
      </c>
      <c r="I59" t="s">
        <v>84</v>
      </c>
      <c r="J59" t="s">
        <v>84</v>
      </c>
      <c r="K59" t="s">
        <v>84</v>
      </c>
      <c r="L59" t="s">
        <v>84</v>
      </c>
      <c r="M59" t="s">
        <v>84</v>
      </c>
    </row>
    <row r="60" spans="1:13" x14ac:dyDescent="0.35">
      <c r="A60" t="s">
        <v>231</v>
      </c>
      <c r="B60">
        <v>0</v>
      </c>
      <c r="C60" t="s">
        <v>84</v>
      </c>
      <c r="D60" t="s">
        <v>84</v>
      </c>
      <c r="E60" t="s">
        <v>84</v>
      </c>
      <c r="F60" t="s">
        <v>84</v>
      </c>
      <c r="G60" t="s">
        <v>84</v>
      </c>
      <c r="H60" t="s">
        <v>84</v>
      </c>
      <c r="I60" t="s">
        <v>84</v>
      </c>
      <c r="J60" t="s">
        <v>84</v>
      </c>
      <c r="K60" t="s">
        <v>84</v>
      </c>
      <c r="L60" t="s">
        <v>84</v>
      </c>
      <c r="M60" t="s">
        <v>84</v>
      </c>
    </row>
    <row r="61" spans="1:13" x14ac:dyDescent="0.35">
      <c r="A61" t="s">
        <v>231</v>
      </c>
      <c r="B61">
        <v>0</v>
      </c>
      <c r="C61" t="s">
        <v>84</v>
      </c>
      <c r="D61" t="s">
        <v>84</v>
      </c>
      <c r="E61" t="s">
        <v>84</v>
      </c>
      <c r="F61" t="s">
        <v>84</v>
      </c>
      <c r="G61" t="s">
        <v>84</v>
      </c>
      <c r="H61" t="s">
        <v>84</v>
      </c>
      <c r="I61" t="s">
        <v>84</v>
      </c>
      <c r="J61" t="s">
        <v>84</v>
      </c>
      <c r="K61" t="s">
        <v>84</v>
      </c>
      <c r="L61" t="s">
        <v>84</v>
      </c>
      <c r="M61" t="s">
        <v>84</v>
      </c>
    </row>
    <row r="62" spans="1:13" x14ac:dyDescent="0.35">
      <c r="A62" t="s">
        <v>231</v>
      </c>
      <c r="B62">
        <v>0</v>
      </c>
      <c r="C62" t="s">
        <v>84</v>
      </c>
      <c r="D62" t="s">
        <v>84</v>
      </c>
      <c r="E62" t="s">
        <v>84</v>
      </c>
      <c r="F62" t="s">
        <v>84</v>
      </c>
      <c r="G62" t="s">
        <v>84</v>
      </c>
      <c r="H62" t="s">
        <v>84</v>
      </c>
      <c r="I62" t="s">
        <v>84</v>
      </c>
      <c r="J62" t="s">
        <v>84</v>
      </c>
      <c r="K62" t="s">
        <v>84</v>
      </c>
      <c r="L62" t="s">
        <v>84</v>
      </c>
      <c r="M62" t="s">
        <v>84</v>
      </c>
    </row>
    <row r="63" spans="1:13" x14ac:dyDescent="0.35">
      <c r="A63" t="s">
        <v>231</v>
      </c>
      <c r="B63">
        <v>0</v>
      </c>
      <c r="C63" t="s">
        <v>84</v>
      </c>
      <c r="D63" t="s">
        <v>84</v>
      </c>
      <c r="E63" t="s">
        <v>84</v>
      </c>
      <c r="F63" t="s">
        <v>84</v>
      </c>
      <c r="G63" t="s">
        <v>84</v>
      </c>
      <c r="H63" t="s">
        <v>84</v>
      </c>
      <c r="I63" t="s">
        <v>84</v>
      </c>
      <c r="J63" t="s">
        <v>84</v>
      </c>
      <c r="K63" t="s">
        <v>84</v>
      </c>
      <c r="L63" t="s">
        <v>84</v>
      </c>
      <c r="M63" t="s">
        <v>84</v>
      </c>
    </row>
    <row r="64" spans="1:13" x14ac:dyDescent="0.35">
      <c r="A64" t="s">
        <v>231</v>
      </c>
      <c r="B64">
        <v>0</v>
      </c>
      <c r="C64" t="s">
        <v>84</v>
      </c>
      <c r="D64" t="s">
        <v>84</v>
      </c>
      <c r="E64" t="s">
        <v>84</v>
      </c>
      <c r="F64" t="s">
        <v>84</v>
      </c>
      <c r="G64" t="s">
        <v>84</v>
      </c>
      <c r="H64" t="s">
        <v>84</v>
      </c>
      <c r="I64" t="s">
        <v>84</v>
      </c>
      <c r="J64" t="s">
        <v>84</v>
      </c>
      <c r="K64" t="s">
        <v>84</v>
      </c>
      <c r="L64" t="s">
        <v>84</v>
      </c>
      <c r="M64" t="s">
        <v>84</v>
      </c>
    </row>
    <row r="65" spans="1:13" x14ac:dyDescent="0.35">
      <c r="A65" t="s">
        <v>231</v>
      </c>
      <c r="B65">
        <v>0</v>
      </c>
      <c r="C65" t="s">
        <v>84</v>
      </c>
      <c r="D65" t="s">
        <v>84</v>
      </c>
      <c r="E65" t="s">
        <v>84</v>
      </c>
      <c r="F65" t="s">
        <v>84</v>
      </c>
      <c r="G65" t="s">
        <v>84</v>
      </c>
      <c r="H65" t="s">
        <v>84</v>
      </c>
      <c r="I65" t="s">
        <v>84</v>
      </c>
      <c r="J65" t="s">
        <v>84</v>
      </c>
      <c r="K65" t="s">
        <v>84</v>
      </c>
      <c r="L65" t="s">
        <v>84</v>
      </c>
      <c r="M65" t="s">
        <v>84</v>
      </c>
    </row>
    <row r="66" spans="1:13" x14ac:dyDescent="0.35">
      <c r="A66" t="s">
        <v>231</v>
      </c>
      <c r="B66">
        <v>0</v>
      </c>
      <c r="C66" t="s">
        <v>84</v>
      </c>
      <c r="D66" t="s">
        <v>84</v>
      </c>
      <c r="E66" t="s">
        <v>84</v>
      </c>
      <c r="F66" t="s">
        <v>84</v>
      </c>
      <c r="G66" t="s">
        <v>84</v>
      </c>
      <c r="H66" t="s">
        <v>84</v>
      </c>
      <c r="I66" t="s">
        <v>84</v>
      </c>
      <c r="J66" t="s">
        <v>84</v>
      </c>
      <c r="K66" t="s">
        <v>84</v>
      </c>
      <c r="L66" t="s">
        <v>84</v>
      </c>
      <c r="M66" t="s">
        <v>84</v>
      </c>
    </row>
    <row r="67" spans="1:13" x14ac:dyDescent="0.35">
      <c r="A67" t="s">
        <v>231</v>
      </c>
      <c r="B67">
        <v>0</v>
      </c>
      <c r="C67" t="s">
        <v>84</v>
      </c>
      <c r="D67" t="s">
        <v>84</v>
      </c>
      <c r="E67" t="s">
        <v>84</v>
      </c>
      <c r="F67" t="s">
        <v>84</v>
      </c>
      <c r="G67" t="s">
        <v>84</v>
      </c>
      <c r="H67" t="s">
        <v>84</v>
      </c>
      <c r="I67" t="s">
        <v>84</v>
      </c>
      <c r="J67" t="s">
        <v>84</v>
      </c>
      <c r="K67" t="s">
        <v>84</v>
      </c>
      <c r="L67" t="s">
        <v>84</v>
      </c>
      <c r="M67" t="s">
        <v>84</v>
      </c>
    </row>
    <row r="68" spans="1:13" x14ac:dyDescent="0.35">
      <c r="A68" t="s">
        <v>231</v>
      </c>
      <c r="B68">
        <v>0</v>
      </c>
      <c r="C68" t="s">
        <v>84</v>
      </c>
      <c r="D68" t="s">
        <v>84</v>
      </c>
      <c r="E68" t="s">
        <v>84</v>
      </c>
      <c r="F68" t="s">
        <v>84</v>
      </c>
      <c r="G68" t="s">
        <v>84</v>
      </c>
      <c r="H68" t="s">
        <v>84</v>
      </c>
      <c r="I68" t="s">
        <v>84</v>
      </c>
      <c r="J68" t="s">
        <v>84</v>
      </c>
      <c r="K68" t="s">
        <v>84</v>
      </c>
      <c r="L68" t="s">
        <v>84</v>
      </c>
      <c r="M68" t="s">
        <v>84</v>
      </c>
    </row>
    <row r="69" spans="1:13" x14ac:dyDescent="0.35">
      <c r="A69" t="s">
        <v>231</v>
      </c>
      <c r="B69">
        <v>0</v>
      </c>
      <c r="C69" t="s">
        <v>84</v>
      </c>
      <c r="D69" t="s">
        <v>84</v>
      </c>
      <c r="E69" t="s">
        <v>84</v>
      </c>
      <c r="F69" t="s">
        <v>84</v>
      </c>
      <c r="G69" t="s">
        <v>84</v>
      </c>
      <c r="H69" t="s">
        <v>84</v>
      </c>
      <c r="I69" t="s">
        <v>84</v>
      </c>
      <c r="J69" t="s">
        <v>84</v>
      </c>
      <c r="K69" t="s">
        <v>84</v>
      </c>
      <c r="L69" t="s">
        <v>84</v>
      </c>
      <c r="M69" t="s">
        <v>84</v>
      </c>
    </row>
    <row r="70" spans="1:13" x14ac:dyDescent="0.35">
      <c r="A70" t="s">
        <v>231</v>
      </c>
      <c r="B70">
        <v>0</v>
      </c>
      <c r="C70" t="s">
        <v>84</v>
      </c>
      <c r="D70" t="s">
        <v>84</v>
      </c>
      <c r="E70" t="s">
        <v>84</v>
      </c>
      <c r="F70" t="s">
        <v>84</v>
      </c>
      <c r="G70" t="s">
        <v>84</v>
      </c>
      <c r="H70" t="s">
        <v>84</v>
      </c>
      <c r="I70" t="s">
        <v>84</v>
      </c>
      <c r="J70" t="s">
        <v>84</v>
      </c>
      <c r="K70" t="s">
        <v>84</v>
      </c>
      <c r="L70" t="s">
        <v>84</v>
      </c>
      <c r="M70" t="s">
        <v>84</v>
      </c>
    </row>
    <row r="71" spans="1:13" x14ac:dyDescent="0.35">
      <c r="A71" t="s">
        <v>231</v>
      </c>
      <c r="B71">
        <v>0</v>
      </c>
      <c r="C71" t="s">
        <v>84</v>
      </c>
      <c r="D71" t="s">
        <v>84</v>
      </c>
      <c r="E71" t="s">
        <v>84</v>
      </c>
      <c r="F71" t="s">
        <v>84</v>
      </c>
      <c r="G71" t="s">
        <v>84</v>
      </c>
      <c r="H71" t="s">
        <v>84</v>
      </c>
      <c r="I71" t="s">
        <v>84</v>
      </c>
      <c r="J71" t="s">
        <v>84</v>
      </c>
      <c r="K71" t="s">
        <v>84</v>
      </c>
      <c r="L71" t="s">
        <v>84</v>
      </c>
      <c r="M71" t="s">
        <v>84</v>
      </c>
    </row>
    <row r="72" spans="1:13" x14ac:dyDescent="0.35">
      <c r="A72" t="s">
        <v>231</v>
      </c>
      <c r="B72">
        <v>0</v>
      </c>
      <c r="C72" t="s">
        <v>84</v>
      </c>
      <c r="D72" t="s">
        <v>84</v>
      </c>
      <c r="E72" t="s">
        <v>84</v>
      </c>
      <c r="F72" t="s">
        <v>84</v>
      </c>
      <c r="G72" t="s">
        <v>84</v>
      </c>
      <c r="H72" t="s">
        <v>84</v>
      </c>
      <c r="I72" t="s">
        <v>84</v>
      </c>
      <c r="J72" t="s">
        <v>84</v>
      </c>
      <c r="K72" t="s">
        <v>84</v>
      </c>
      <c r="L72" t="s">
        <v>84</v>
      </c>
      <c r="M72" t="s">
        <v>84</v>
      </c>
    </row>
    <row r="73" spans="1:13" x14ac:dyDescent="0.35">
      <c r="A73" t="s">
        <v>231</v>
      </c>
      <c r="B73">
        <v>0</v>
      </c>
      <c r="C73" t="s">
        <v>84</v>
      </c>
      <c r="D73" t="s">
        <v>84</v>
      </c>
      <c r="E73" t="s">
        <v>84</v>
      </c>
      <c r="F73" t="s">
        <v>84</v>
      </c>
      <c r="G73" t="s">
        <v>84</v>
      </c>
      <c r="H73" t="s">
        <v>84</v>
      </c>
      <c r="I73" t="s">
        <v>84</v>
      </c>
      <c r="J73" t="s">
        <v>84</v>
      </c>
      <c r="K73" t="s">
        <v>84</v>
      </c>
      <c r="L73" t="s">
        <v>84</v>
      </c>
      <c r="M73" t="s">
        <v>84</v>
      </c>
    </row>
    <row r="74" spans="1:13" x14ac:dyDescent="0.35">
      <c r="A74" t="s">
        <v>231</v>
      </c>
      <c r="B74">
        <v>0</v>
      </c>
      <c r="C74" t="s">
        <v>84</v>
      </c>
      <c r="D74" t="s">
        <v>84</v>
      </c>
      <c r="E74" t="s">
        <v>84</v>
      </c>
      <c r="F74" t="s">
        <v>84</v>
      </c>
      <c r="G74" t="s">
        <v>84</v>
      </c>
      <c r="H74" t="s">
        <v>84</v>
      </c>
      <c r="I74" t="s">
        <v>84</v>
      </c>
      <c r="J74" t="s">
        <v>84</v>
      </c>
      <c r="K74" t="s">
        <v>84</v>
      </c>
      <c r="L74" t="s">
        <v>84</v>
      </c>
      <c r="M74" t="s">
        <v>84</v>
      </c>
    </row>
    <row r="75" spans="1:13" x14ac:dyDescent="0.35">
      <c r="A75" t="s">
        <v>231</v>
      </c>
      <c r="B75">
        <v>0</v>
      </c>
      <c r="C75" t="s">
        <v>84</v>
      </c>
      <c r="D75" t="s">
        <v>84</v>
      </c>
      <c r="E75" t="s">
        <v>84</v>
      </c>
      <c r="F75" t="s">
        <v>84</v>
      </c>
      <c r="G75" t="s">
        <v>84</v>
      </c>
      <c r="H75" t="s">
        <v>84</v>
      </c>
      <c r="I75" t="s">
        <v>84</v>
      </c>
      <c r="J75" t="s">
        <v>84</v>
      </c>
      <c r="K75" t="s">
        <v>84</v>
      </c>
      <c r="L75" t="s">
        <v>84</v>
      </c>
      <c r="M75" t="s">
        <v>84</v>
      </c>
    </row>
    <row r="76" spans="1:13" x14ac:dyDescent="0.35">
      <c r="A76" t="s">
        <v>231</v>
      </c>
      <c r="B76">
        <v>0</v>
      </c>
      <c r="C76" t="s">
        <v>84</v>
      </c>
      <c r="D76" t="s">
        <v>84</v>
      </c>
      <c r="E76" t="s">
        <v>84</v>
      </c>
      <c r="F76" t="s">
        <v>84</v>
      </c>
      <c r="G76" t="s">
        <v>84</v>
      </c>
      <c r="H76" t="s">
        <v>84</v>
      </c>
      <c r="I76" t="s">
        <v>84</v>
      </c>
      <c r="J76" t="s">
        <v>84</v>
      </c>
      <c r="K76" t="s">
        <v>84</v>
      </c>
      <c r="L76" t="s">
        <v>84</v>
      </c>
      <c r="M76" t="s">
        <v>84</v>
      </c>
    </row>
    <row r="77" spans="1:13" x14ac:dyDescent="0.35">
      <c r="A77" t="s">
        <v>231</v>
      </c>
      <c r="B77">
        <v>0</v>
      </c>
      <c r="C77" t="s">
        <v>84</v>
      </c>
      <c r="D77" t="s">
        <v>84</v>
      </c>
      <c r="E77" t="s">
        <v>84</v>
      </c>
      <c r="F77" t="s">
        <v>84</v>
      </c>
      <c r="G77" t="s">
        <v>84</v>
      </c>
      <c r="H77" t="s">
        <v>84</v>
      </c>
      <c r="I77" t="s">
        <v>84</v>
      </c>
      <c r="J77" t="s">
        <v>84</v>
      </c>
      <c r="K77" t="s">
        <v>84</v>
      </c>
      <c r="L77" t="s">
        <v>84</v>
      </c>
      <c r="M77" t="s">
        <v>84</v>
      </c>
    </row>
    <row r="78" spans="1:13" x14ac:dyDescent="0.35">
      <c r="A78" t="s">
        <v>231</v>
      </c>
      <c r="B78">
        <v>0</v>
      </c>
      <c r="C78" t="s">
        <v>84</v>
      </c>
      <c r="D78" t="s">
        <v>84</v>
      </c>
      <c r="E78" t="s">
        <v>84</v>
      </c>
      <c r="F78" t="s">
        <v>84</v>
      </c>
      <c r="G78" t="s">
        <v>84</v>
      </c>
      <c r="H78" t="s">
        <v>84</v>
      </c>
      <c r="I78" t="s">
        <v>84</v>
      </c>
      <c r="J78" t="s">
        <v>84</v>
      </c>
      <c r="K78" t="s">
        <v>84</v>
      </c>
      <c r="L78" t="s">
        <v>84</v>
      </c>
      <c r="M78" t="s">
        <v>84</v>
      </c>
    </row>
    <row r="79" spans="1:13" x14ac:dyDescent="0.35">
      <c r="A79" t="s">
        <v>231</v>
      </c>
      <c r="B79">
        <v>0</v>
      </c>
      <c r="C79" t="s">
        <v>84</v>
      </c>
      <c r="D79" t="s">
        <v>84</v>
      </c>
      <c r="E79" t="s">
        <v>84</v>
      </c>
      <c r="F79" t="s">
        <v>84</v>
      </c>
      <c r="G79" t="s">
        <v>84</v>
      </c>
      <c r="H79" t="s">
        <v>84</v>
      </c>
      <c r="I79" t="s">
        <v>84</v>
      </c>
      <c r="J79" t="s">
        <v>84</v>
      </c>
      <c r="K79" t="s">
        <v>84</v>
      </c>
      <c r="L79" t="s">
        <v>84</v>
      </c>
      <c r="M79" t="s">
        <v>84</v>
      </c>
    </row>
    <row r="80" spans="1:13" x14ac:dyDescent="0.35">
      <c r="A80" t="s">
        <v>231</v>
      </c>
      <c r="B80">
        <v>0</v>
      </c>
      <c r="C80" t="s">
        <v>84</v>
      </c>
      <c r="D80" t="s">
        <v>84</v>
      </c>
      <c r="E80" t="s">
        <v>84</v>
      </c>
      <c r="F80" t="s">
        <v>84</v>
      </c>
      <c r="G80" t="s">
        <v>84</v>
      </c>
      <c r="H80" t="s">
        <v>84</v>
      </c>
      <c r="I80" t="s">
        <v>84</v>
      </c>
      <c r="J80" t="s">
        <v>84</v>
      </c>
      <c r="K80" t="s">
        <v>84</v>
      </c>
      <c r="L80" t="s">
        <v>84</v>
      </c>
      <c r="M80" t="s">
        <v>84</v>
      </c>
    </row>
    <row r="81" spans="1:13" x14ac:dyDescent="0.35">
      <c r="A81" t="s">
        <v>231</v>
      </c>
      <c r="B81">
        <v>0</v>
      </c>
      <c r="C81" t="s">
        <v>84</v>
      </c>
      <c r="D81" t="s">
        <v>84</v>
      </c>
      <c r="E81" t="s">
        <v>84</v>
      </c>
      <c r="F81" t="s">
        <v>84</v>
      </c>
      <c r="G81" t="s">
        <v>84</v>
      </c>
      <c r="H81" t="s">
        <v>84</v>
      </c>
      <c r="I81" t="s">
        <v>84</v>
      </c>
      <c r="J81" t="s">
        <v>84</v>
      </c>
      <c r="K81" t="s">
        <v>84</v>
      </c>
      <c r="L81" t="s">
        <v>84</v>
      </c>
      <c r="M81" t="s">
        <v>84</v>
      </c>
    </row>
    <row r="82" spans="1:13" x14ac:dyDescent="0.35">
      <c r="A82" t="s">
        <v>231</v>
      </c>
      <c r="B82">
        <v>0</v>
      </c>
      <c r="C82" t="s">
        <v>84</v>
      </c>
      <c r="D82" t="s">
        <v>84</v>
      </c>
      <c r="E82" t="s">
        <v>84</v>
      </c>
      <c r="F82" t="s">
        <v>84</v>
      </c>
      <c r="G82" t="s">
        <v>84</v>
      </c>
      <c r="H82" t="s">
        <v>84</v>
      </c>
      <c r="I82" t="s">
        <v>84</v>
      </c>
      <c r="J82" t="s">
        <v>84</v>
      </c>
      <c r="K82" t="s">
        <v>84</v>
      </c>
      <c r="L82" t="s">
        <v>84</v>
      </c>
      <c r="M82" t="s">
        <v>84</v>
      </c>
    </row>
    <row r="83" spans="1:13" x14ac:dyDescent="0.35">
      <c r="A83" t="s">
        <v>231</v>
      </c>
      <c r="B83">
        <v>0</v>
      </c>
      <c r="C83" t="s">
        <v>84</v>
      </c>
      <c r="D83" t="s">
        <v>84</v>
      </c>
      <c r="E83" t="s">
        <v>84</v>
      </c>
      <c r="F83" t="s">
        <v>84</v>
      </c>
      <c r="G83" t="s">
        <v>84</v>
      </c>
      <c r="H83" t="s">
        <v>84</v>
      </c>
      <c r="I83" t="s">
        <v>84</v>
      </c>
      <c r="J83" t="s">
        <v>84</v>
      </c>
      <c r="K83" t="s">
        <v>84</v>
      </c>
      <c r="L83" t="s">
        <v>84</v>
      </c>
      <c r="M83" t="s">
        <v>84</v>
      </c>
    </row>
    <row r="84" spans="1:13" x14ac:dyDescent="0.35">
      <c r="A84" t="s">
        <v>231</v>
      </c>
      <c r="B84">
        <v>0</v>
      </c>
      <c r="C84" t="s">
        <v>84</v>
      </c>
      <c r="D84" t="s">
        <v>84</v>
      </c>
      <c r="E84" t="s">
        <v>84</v>
      </c>
      <c r="F84" t="s">
        <v>84</v>
      </c>
      <c r="G84" t="s">
        <v>84</v>
      </c>
      <c r="H84" t="s">
        <v>84</v>
      </c>
      <c r="I84" t="s">
        <v>84</v>
      </c>
      <c r="J84" t="s">
        <v>84</v>
      </c>
      <c r="K84" t="s">
        <v>84</v>
      </c>
      <c r="L84" t="s">
        <v>84</v>
      </c>
      <c r="M84" t="s">
        <v>84</v>
      </c>
    </row>
    <row r="85" spans="1:13" x14ac:dyDescent="0.35">
      <c r="A85" t="s">
        <v>231</v>
      </c>
      <c r="B85">
        <v>0</v>
      </c>
      <c r="C85" t="s">
        <v>84</v>
      </c>
      <c r="D85" t="s">
        <v>84</v>
      </c>
      <c r="E85" t="s">
        <v>84</v>
      </c>
      <c r="F85" t="s">
        <v>84</v>
      </c>
      <c r="G85" t="s">
        <v>84</v>
      </c>
      <c r="H85" t="s">
        <v>84</v>
      </c>
      <c r="I85" t="s">
        <v>84</v>
      </c>
      <c r="J85" t="s">
        <v>84</v>
      </c>
      <c r="K85" t="s">
        <v>84</v>
      </c>
      <c r="L85" t="s">
        <v>84</v>
      </c>
      <c r="M85" t="s">
        <v>84</v>
      </c>
    </row>
    <row r="86" spans="1:13" x14ac:dyDescent="0.35">
      <c r="A86" t="s">
        <v>231</v>
      </c>
      <c r="B86">
        <v>0</v>
      </c>
      <c r="C86" t="s">
        <v>84</v>
      </c>
      <c r="D86" t="s">
        <v>84</v>
      </c>
      <c r="E86" t="s">
        <v>84</v>
      </c>
      <c r="F86" t="s">
        <v>84</v>
      </c>
      <c r="G86" t="s">
        <v>84</v>
      </c>
      <c r="H86" t="s">
        <v>84</v>
      </c>
      <c r="I86" t="s">
        <v>84</v>
      </c>
      <c r="J86" t="s">
        <v>84</v>
      </c>
      <c r="K86" t="s">
        <v>84</v>
      </c>
      <c r="L86" t="s">
        <v>84</v>
      </c>
      <c r="M86" t="s">
        <v>84</v>
      </c>
    </row>
    <row r="87" spans="1:13" x14ac:dyDescent="0.35">
      <c r="A87" t="s">
        <v>231</v>
      </c>
      <c r="B87">
        <v>0</v>
      </c>
      <c r="C87" t="s">
        <v>84</v>
      </c>
      <c r="D87" t="s">
        <v>84</v>
      </c>
      <c r="E87" t="s">
        <v>84</v>
      </c>
      <c r="F87" t="s">
        <v>84</v>
      </c>
      <c r="G87" t="s">
        <v>84</v>
      </c>
      <c r="H87" t="s">
        <v>84</v>
      </c>
      <c r="I87" t="s">
        <v>84</v>
      </c>
      <c r="J87" t="s">
        <v>84</v>
      </c>
      <c r="K87" t="s">
        <v>84</v>
      </c>
      <c r="L87" t="s">
        <v>84</v>
      </c>
      <c r="M87" t="s">
        <v>84</v>
      </c>
    </row>
    <row r="88" spans="1:13" x14ac:dyDescent="0.35">
      <c r="A88" t="s">
        <v>231</v>
      </c>
      <c r="B88">
        <v>0</v>
      </c>
      <c r="C88" t="s">
        <v>84</v>
      </c>
      <c r="D88" t="s">
        <v>84</v>
      </c>
      <c r="E88" t="s">
        <v>84</v>
      </c>
      <c r="F88" t="s">
        <v>84</v>
      </c>
      <c r="G88" t="s">
        <v>84</v>
      </c>
      <c r="H88" t="s">
        <v>84</v>
      </c>
      <c r="I88" t="s">
        <v>84</v>
      </c>
      <c r="J88" t="s">
        <v>84</v>
      </c>
      <c r="K88" t="s">
        <v>84</v>
      </c>
      <c r="L88" t="s">
        <v>84</v>
      </c>
      <c r="M88" t="s">
        <v>84</v>
      </c>
    </row>
    <row r="89" spans="1:13" x14ac:dyDescent="0.35">
      <c r="A89" t="s">
        <v>231</v>
      </c>
      <c r="B89">
        <v>0</v>
      </c>
      <c r="C89" t="s">
        <v>84</v>
      </c>
      <c r="D89" t="s">
        <v>84</v>
      </c>
      <c r="E89" t="s">
        <v>84</v>
      </c>
      <c r="F89" t="s">
        <v>84</v>
      </c>
      <c r="G89" t="s">
        <v>84</v>
      </c>
      <c r="H89" t="s">
        <v>84</v>
      </c>
      <c r="I89" t="s">
        <v>84</v>
      </c>
      <c r="J89" t="s">
        <v>84</v>
      </c>
      <c r="K89" t="s">
        <v>84</v>
      </c>
      <c r="L89" t="s">
        <v>84</v>
      </c>
      <c r="M89" t="s">
        <v>84</v>
      </c>
    </row>
    <row r="90" spans="1:13" x14ac:dyDescent="0.35">
      <c r="A90" t="s">
        <v>231</v>
      </c>
      <c r="B90">
        <v>0</v>
      </c>
      <c r="C90" t="s">
        <v>84</v>
      </c>
      <c r="D90" t="s">
        <v>84</v>
      </c>
      <c r="E90" t="s">
        <v>84</v>
      </c>
      <c r="F90" t="s">
        <v>84</v>
      </c>
      <c r="G90" t="s">
        <v>84</v>
      </c>
      <c r="H90" t="s">
        <v>84</v>
      </c>
      <c r="I90" t="s">
        <v>84</v>
      </c>
      <c r="J90" t="s">
        <v>84</v>
      </c>
      <c r="K90" t="s">
        <v>84</v>
      </c>
      <c r="L90" t="s">
        <v>84</v>
      </c>
      <c r="M90" t="s">
        <v>84</v>
      </c>
    </row>
    <row r="91" spans="1:13" x14ac:dyDescent="0.35">
      <c r="A91" t="s">
        <v>231</v>
      </c>
      <c r="B91">
        <v>0</v>
      </c>
      <c r="C91" t="s">
        <v>84</v>
      </c>
      <c r="D91" t="s">
        <v>84</v>
      </c>
      <c r="E91" t="s">
        <v>84</v>
      </c>
      <c r="F91" t="s">
        <v>84</v>
      </c>
      <c r="G91" t="s">
        <v>84</v>
      </c>
      <c r="H91" t="s">
        <v>84</v>
      </c>
      <c r="I91" t="s">
        <v>84</v>
      </c>
      <c r="J91" t="s">
        <v>84</v>
      </c>
      <c r="K91" t="s">
        <v>84</v>
      </c>
      <c r="L91" t="s">
        <v>84</v>
      </c>
      <c r="M91" t="s">
        <v>84</v>
      </c>
    </row>
    <row r="92" spans="1:13" x14ac:dyDescent="0.35">
      <c r="A92" t="s">
        <v>231</v>
      </c>
      <c r="B92">
        <v>0</v>
      </c>
      <c r="C92" t="s">
        <v>84</v>
      </c>
      <c r="D92" t="s">
        <v>84</v>
      </c>
      <c r="E92" t="s">
        <v>84</v>
      </c>
      <c r="F92" t="s">
        <v>84</v>
      </c>
      <c r="G92" t="s">
        <v>84</v>
      </c>
      <c r="H92" t="s">
        <v>84</v>
      </c>
      <c r="I92" t="s">
        <v>84</v>
      </c>
      <c r="J92" t="s">
        <v>84</v>
      </c>
      <c r="K92" t="s">
        <v>84</v>
      </c>
      <c r="L92" t="s">
        <v>84</v>
      </c>
      <c r="M92" t="s">
        <v>84</v>
      </c>
    </row>
    <row r="93" spans="1:13" x14ac:dyDescent="0.35">
      <c r="A93" t="s">
        <v>231</v>
      </c>
      <c r="B93">
        <v>0</v>
      </c>
      <c r="C93" t="s">
        <v>84</v>
      </c>
      <c r="D93" t="s">
        <v>84</v>
      </c>
      <c r="E93" t="s">
        <v>84</v>
      </c>
      <c r="F93" t="s">
        <v>84</v>
      </c>
      <c r="G93" t="s">
        <v>84</v>
      </c>
      <c r="H93" t="s">
        <v>84</v>
      </c>
      <c r="I93" t="s">
        <v>84</v>
      </c>
      <c r="J93" t="s">
        <v>84</v>
      </c>
      <c r="K93" t="s">
        <v>84</v>
      </c>
      <c r="L93" t="s">
        <v>84</v>
      </c>
      <c r="M93" t="s">
        <v>84</v>
      </c>
    </row>
    <row r="94" spans="1:13" x14ac:dyDescent="0.35">
      <c r="A94" t="s">
        <v>231</v>
      </c>
      <c r="B94">
        <v>0</v>
      </c>
      <c r="C94" t="s">
        <v>84</v>
      </c>
      <c r="D94" t="s">
        <v>84</v>
      </c>
      <c r="E94" t="s">
        <v>84</v>
      </c>
      <c r="F94" t="s">
        <v>84</v>
      </c>
      <c r="G94" t="s">
        <v>84</v>
      </c>
      <c r="H94" t="s">
        <v>84</v>
      </c>
      <c r="I94" t="s">
        <v>84</v>
      </c>
      <c r="J94" t="s">
        <v>84</v>
      </c>
      <c r="K94" t="s">
        <v>84</v>
      </c>
      <c r="L94" t="s">
        <v>84</v>
      </c>
      <c r="M94" t="s">
        <v>84</v>
      </c>
    </row>
    <row r="95" spans="1:13" x14ac:dyDescent="0.35">
      <c r="A95" t="s">
        <v>231</v>
      </c>
      <c r="B95">
        <v>0</v>
      </c>
      <c r="C95" t="s">
        <v>84</v>
      </c>
      <c r="D95" t="s">
        <v>84</v>
      </c>
      <c r="E95" t="s">
        <v>84</v>
      </c>
      <c r="F95" t="s">
        <v>84</v>
      </c>
      <c r="G95" t="s">
        <v>84</v>
      </c>
      <c r="H95" t="s">
        <v>84</v>
      </c>
      <c r="I95" t="s">
        <v>84</v>
      </c>
      <c r="J95" t="s">
        <v>84</v>
      </c>
      <c r="K95" t="s">
        <v>84</v>
      </c>
      <c r="L95" t="s">
        <v>84</v>
      </c>
      <c r="M95" t="s">
        <v>84</v>
      </c>
    </row>
    <row r="96" spans="1:13" x14ac:dyDescent="0.35">
      <c r="A96" t="s">
        <v>196</v>
      </c>
      <c r="B96">
        <v>1</v>
      </c>
      <c r="C96" t="s">
        <v>131</v>
      </c>
      <c r="D96" t="s">
        <v>121</v>
      </c>
      <c r="E96" t="s">
        <v>125</v>
      </c>
      <c r="F96" t="s">
        <v>218</v>
      </c>
      <c r="G96" t="s">
        <v>123</v>
      </c>
      <c r="H96" t="s">
        <v>132</v>
      </c>
      <c r="I96" t="s">
        <v>122</v>
      </c>
      <c r="J96" t="s">
        <v>128</v>
      </c>
      <c r="K96" t="s">
        <v>125</v>
      </c>
      <c r="L96">
        <v>9</v>
      </c>
      <c r="M96">
        <v>456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GS44"/>
  <sheetViews>
    <sheetView topLeftCell="A13" zoomScaleNormal="100" workbookViewId="0">
      <selection activeCell="B23" sqref="B23:B25"/>
    </sheetView>
  </sheetViews>
  <sheetFormatPr defaultRowHeight="12.5" x14ac:dyDescent="0.25"/>
  <cols>
    <col min="1" max="2" width="8.81640625" style="12" customWidth="1"/>
    <col min="3" max="16384" width="8.7265625" style="12"/>
  </cols>
  <sheetData>
    <row r="1" spans="1:3" ht="4.5" customHeight="1" x14ac:dyDescent="0.25">
      <c r="A1" s="94"/>
    </row>
    <row r="2" spans="1:3" x14ac:dyDescent="0.25">
      <c r="A2" s="148"/>
      <c r="B2" s="130"/>
      <c r="C2" s="130"/>
    </row>
    <row r="3" spans="1:3" x14ac:dyDescent="0.25">
      <c r="A3" s="148"/>
      <c r="B3" s="130"/>
      <c r="C3" s="130"/>
    </row>
    <row r="4" spans="1:3" x14ac:dyDescent="0.25">
      <c r="A4" s="148"/>
      <c r="B4" s="130"/>
      <c r="C4" s="130"/>
    </row>
    <row r="5" spans="1:3" x14ac:dyDescent="0.25">
      <c r="A5" s="130"/>
      <c r="B5" s="130"/>
    </row>
    <row r="6" spans="1:3" ht="12.75" customHeight="1" x14ac:dyDescent="0.25">
      <c r="A6" s="130"/>
      <c r="B6" s="130"/>
    </row>
    <row r="7" spans="1:3" ht="12.75" customHeight="1" x14ac:dyDescent="0.25">
      <c r="A7" s="130"/>
      <c r="B7" s="130"/>
    </row>
    <row r="8" spans="1:3" ht="12.75" customHeight="1" x14ac:dyDescent="0.25">
      <c r="A8" s="130"/>
      <c r="B8" s="130"/>
    </row>
    <row r="9" spans="1:3" ht="12.75" customHeight="1" x14ac:dyDescent="0.25">
      <c r="A9" s="130"/>
      <c r="B9" s="130"/>
    </row>
    <row r="10" spans="1:3" ht="12.75" customHeight="1" x14ac:dyDescent="0.25">
      <c r="A10" s="130"/>
      <c r="B10" s="130"/>
    </row>
    <row r="11" spans="1:3" x14ac:dyDescent="0.25">
      <c r="A11" s="130"/>
      <c r="B11" s="130"/>
    </row>
    <row r="12" spans="1:3" ht="12.75" customHeight="1" x14ac:dyDescent="0.25">
      <c r="A12" s="130"/>
      <c r="B12" s="130"/>
    </row>
    <row r="13" spans="1:3" ht="12.75" customHeight="1" x14ac:dyDescent="0.25">
      <c r="A13" s="130"/>
      <c r="B13" s="130"/>
    </row>
    <row r="14" spans="1:3" ht="12.75" customHeight="1" x14ac:dyDescent="0.25">
      <c r="A14" s="134"/>
      <c r="B14" s="130"/>
    </row>
    <row r="15" spans="1:3" ht="12.75" customHeight="1" x14ac:dyDescent="0.25">
      <c r="A15" s="134"/>
      <c r="B15" s="130"/>
    </row>
    <row r="16" spans="1:3" x14ac:dyDescent="0.25">
      <c r="A16" s="134"/>
      <c r="B16" s="130"/>
    </row>
    <row r="17" spans="1:2" x14ac:dyDescent="0.25">
      <c r="A17" s="133"/>
      <c r="B17" s="133"/>
    </row>
    <row r="18" spans="1:2" x14ac:dyDescent="0.25">
      <c r="A18" s="133"/>
      <c r="B18" s="133"/>
    </row>
    <row r="19" spans="1:2" x14ac:dyDescent="0.25">
      <c r="A19" s="133"/>
      <c r="B19" s="133"/>
    </row>
    <row r="20" spans="1:2" ht="12.5" customHeight="1" x14ac:dyDescent="0.25">
      <c r="A20" s="133"/>
      <c r="B20" s="133"/>
    </row>
    <row r="21" spans="1:2" ht="12.5" customHeight="1" x14ac:dyDescent="0.25">
      <c r="A21" s="133"/>
      <c r="B21" s="133"/>
    </row>
    <row r="22" spans="1:2" ht="12.5" customHeight="1" x14ac:dyDescent="0.25">
      <c r="A22" s="133"/>
      <c r="B22" s="133"/>
    </row>
    <row r="23" spans="1:2" x14ac:dyDescent="0.25">
      <c r="A23" s="130"/>
      <c r="B23" s="130"/>
    </row>
    <row r="24" spans="1:2" x14ac:dyDescent="0.25">
      <c r="A24" s="130"/>
      <c r="B24" s="130"/>
    </row>
    <row r="25" spans="1:2" x14ac:dyDescent="0.25">
      <c r="A25" s="130"/>
      <c r="B25" s="130"/>
    </row>
    <row r="29" spans="1:2" x14ac:dyDescent="0.25">
      <c r="A29" s="135"/>
      <c r="B29" s="135"/>
    </row>
    <row r="30" spans="1:2" x14ac:dyDescent="0.25">
      <c r="A30" s="135"/>
      <c r="B30" s="135"/>
    </row>
    <row r="31" spans="1:2" x14ac:dyDescent="0.25">
      <c r="A31" s="135"/>
      <c r="B31" s="135"/>
    </row>
    <row r="32" spans="1:2" x14ac:dyDescent="0.25">
      <c r="A32" s="135"/>
      <c r="B32" s="135"/>
    </row>
    <row r="33" spans="1:201" x14ac:dyDescent="0.25">
      <c r="A33" s="135"/>
      <c r="B33" s="135"/>
    </row>
    <row r="34" spans="1:201" x14ac:dyDescent="0.25">
      <c r="A34" s="135"/>
      <c r="B34" s="135"/>
    </row>
    <row r="35" spans="1:201" x14ac:dyDescent="0.25">
      <c r="A35" s="135"/>
      <c r="B35" s="135"/>
    </row>
    <row r="36" spans="1:201" x14ac:dyDescent="0.25">
      <c r="A36" s="135"/>
      <c r="B36" s="135"/>
    </row>
    <row r="37" spans="1:201" x14ac:dyDescent="0.25">
      <c r="A37" s="135"/>
      <c r="B37" s="135"/>
    </row>
    <row r="38" spans="1:201" x14ac:dyDescent="0.25">
      <c r="A38" s="16"/>
    </row>
    <row r="44" spans="1:201" x14ac:dyDescent="0.25">
      <c r="GS44" s="15"/>
    </row>
  </sheetData>
  <sheetProtection selectLockedCells="1"/>
  <mergeCells count="23">
    <mergeCell ref="A17:A19"/>
    <mergeCell ref="B17:B19"/>
    <mergeCell ref="A8:A10"/>
    <mergeCell ref="B8:B10"/>
    <mergeCell ref="A11:A13"/>
    <mergeCell ref="B11:B13"/>
    <mergeCell ref="A14:A16"/>
    <mergeCell ref="C2:C4"/>
    <mergeCell ref="A2:A4"/>
    <mergeCell ref="B2:B4"/>
    <mergeCell ref="A35:A37"/>
    <mergeCell ref="B35:B37"/>
    <mergeCell ref="A32:A34"/>
    <mergeCell ref="B32:B34"/>
    <mergeCell ref="A29:A31"/>
    <mergeCell ref="B29:B31"/>
    <mergeCell ref="A5:A7"/>
    <mergeCell ref="B5:B7"/>
    <mergeCell ref="A20:A22"/>
    <mergeCell ref="B20:B22"/>
    <mergeCell ref="A23:A25"/>
    <mergeCell ref="B23:B25"/>
    <mergeCell ref="B14:B16"/>
  </mergeCells>
  <pageMargins left="0.75" right="0.75" top="1" bottom="1" header="0.5" footer="0.5"/>
  <pageSetup paperSize="9" scale="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filterMode="1"/>
  <dimension ref="A1:S14"/>
  <sheetViews>
    <sheetView workbookViewId="0">
      <selection activeCell="J25" sqref="J25"/>
    </sheetView>
  </sheetViews>
  <sheetFormatPr defaultRowHeight="14.5" x14ac:dyDescent="0.35"/>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3</v>
      </c>
      <c r="D2">
        <v>4</v>
      </c>
      <c r="E2">
        <v>5</v>
      </c>
      <c r="F2">
        <v>6</v>
      </c>
      <c r="G2">
        <v>7</v>
      </c>
      <c r="H2">
        <v>8</v>
      </c>
      <c r="I2">
        <v>9</v>
      </c>
      <c r="J2">
        <v>10</v>
      </c>
      <c r="K2">
        <v>11</v>
      </c>
    </row>
    <row r="3" spans="1:19" hidden="1" x14ac:dyDescent="0.35">
      <c r="A3" t="s">
        <v>134</v>
      </c>
      <c r="B3">
        <v>1</v>
      </c>
      <c r="C3" t="s">
        <v>124</v>
      </c>
      <c r="D3" t="s">
        <v>127</v>
      </c>
      <c r="E3" t="s">
        <v>122</v>
      </c>
      <c r="F3" t="s">
        <v>128</v>
      </c>
      <c r="G3" t="s">
        <v>125</v>
      </c>
      <c r="H3" t="s">
        <v>129</v>
      </c>
      <c r="I3" t="s">
        <v>146</v>
      </c>
      <c r="J3" t="s">
        <v>121</v>
      </c>
      <c r="K3" t="s">
        <v>121</v>
      </c>
      <c r="L3">
        <v>167</v>
      </c>
      <c r="M3">
        <v>4394</v>
      </c>
      <c r="N3" t="s">
        <v>148</v>
      </c>
      <c r="O3" t="s">
        <v>130</v>
      </c>
      <c r="P3" t="s">
        <v>146</v>
      </c>
      <c r="Q3" t="s">
        <v>133</v>
      </c>
    </row>
    <row r="4" spans="1:19" hidden="1" x14ac:dyDescent="0.35">
      <c r="A4" t="s">
        <v>135</v>
      </c>
      <c r="B4">
        <v>1</v>
      </c>
      <c r="C4" t="s">
        <v>124</v>
      </c>
      <c r="D4" t="s">
        <v>127</v>
      </c>
      <c r="E4" t="s">
        <v>122</v>
      </c>
      <c r="F4" t="s">
        <v>128</v>
      </c>
      <c r="G4" t="s">
        <v>123</v>
      </c>
      <c r="H4" t="s">
        <v>132</v>
      </c>
      <c r="I4" t="s">
        <v>146</v>
      </c>
      <c r="J4" t="s">
        <v>126</v>
      </c>
      <c r="K4" t="s">
        <v>122</v>
      </c>
      <c r="L4">
        <v>169</v>
      </c>
      <c r="M4">
        <v>4518</v>
      </c>
    </row>
    <row r="5" spans="1:19" x14ac:dyDescent="0.35">
      <c r="A5" t="s">
        <v>136</v>
      </c>
      <c r="B5">
        <v>1</v>
      </c>
      <c r="C5" t="s">
        <v>124</v>
      </c>
      <c r="D5" t="s">
        <v>131</v>
      </c>
      <c r="E5" t="s">
        <v>122</v>
      </c>
      <c r="F5" t="s">
        <v>128</v>
      </c>
      <c r="G5" t="s">
        <v>125</v>
      </c>
      <c r="H5" t="s">
        <v>129</v>
      </c>
      <c r="I5" t="s">
        <v>130</v>
      </c>
      <c r="J5" t="s">
        <v>121</v>
      </c>
      <c r="K5" t="s">
        <v>124</v>
      </c>
      <c r="L5">
        <v>172</v>
      </c>
      <c r="M5">
        <v>4484</v>
      </c>
    </row>
    <row r="6" spans="1:19" hidden="1" x14ac:dyDescent="0.35">
      <c r="A6" t="s">
        <v>137</v>
      </c>
      <c r="B6">
        <v>1</v>
      </c>
      <c r="C6" t="s">
        <v>124</v>
      </c>
      <c r="D6" t="s">
        <v>127</v>
      </c>
      <c r="E6" t="s">
        <v>122</v>
      </c>
      <c r="F6" t="s">
        <v>128</v>
      </c>
      <c r="G6" t="s">
        <v>125</v>
      </c>
      <c r="H6" t="s">
        <v>129</v>
      </c>
      <c r="I6" t="s">
        <v>130</v>
      </c>
      <c r="J6" t="s">
        <v>121</v>
      </c>
      <c r="K6" t="s">
        <v>124</v>
      </c>
      <c r="L6">
        <v>183</v>
      </c>
      <c r="M6">
        <v>4547</v>
      </c>
    </row>
    <row r="7" spans="1:19" hidden="1" x14ac:dyDescent="0.35">
      <c r="A7" t="s">
        <v>138</v>
      </c>
      <c r="B7">
        <v>1</v>
      </c>
      <c r="C7" t="s">
        <v>124</v>
      </c>
      <c r="D7" t="s">
        <v>131</v>
      </c>
      <c r="E7" t="s">
        <v>122</v>
      </c>
      <c r="F7" t="s">
        <v>128</v>
      </c>
      <c r="G7" t="s">
        <v>125</v>
      </c>
      <c r="H7" t="s">
        <v>129</v>
      </c>
      <c r="I7" t="s">
        <v>146</v>
      </c>
      <c r="J7" t="s">
        <v>121</v>
      </c>
      <c r="K7" t="s">
        <v>128</v>
      </c>
      <c r="L7">
        <v>169</v>
      </c>
      <c r="M7">
        <v>4520</v>
      </c>
    </row>
    <row r="8" spans="1:19" hidden="1" x14ac:dyDescent="0.35">
      <c r="A8" t="s">
        <v>139</v>
      </c>
      <c r="B8">
        <v>1</v>
      </c>
      <c r="C8" t="s">
        <v>147</v>
      </c>
      <c r="D8" t="s">
        <v>131</v>
      </c>
      <c r="E8" t="s">
        <v>122</v>
      </c>
      <c r="F8" t="s">
        <v>128</v>
      </c>
      <c r="G8" t="s">
        <v>123</v>
      </c>
      <c r="H8" t="s">
        <v>129</v>
      </c>
      <c r="I8" t="s">
        <v>130</v>
      </c>
      <c r="J8" t="s">
        <v>121</v>
      </c>
      <c r="K8" t="s">
        <v>122</v>
      </c>
      <c r="L8">
        <v>168</v>
      </c>
      <c r="M8">
        <v>4497</v>
      </c>
    </row>
    <row r="9" spans="1:19" hidden="1" x14ac:dyDescent="0.35">
      <c r="A9" t="s">
        <v>140</v>
      </c>
      <c r="B9">
        <v>1</v>
      </c>
      <c r="C9" t="s">
        <v>124</v>
      </c>
      <c r="D9" t="s">
        <v>131</v>
      </c>
      <c r="E9" t="s">
        <v>122</v>
      </c>
      <c r="F9" t="s">
        <v>128</v>
      </c>
      <c r="G9" t="s">
        <v>125</v>
      </c>
      <c r="H9" t="s">
        <v>129</v>
      </c>
      <c r="I9" t="s">
        <v>130</v>
      </c>
      <c r="J9" t="s">
        <v>121</v>
      </c>
      <c r="K9" t="s">
        <v>124</v>
      </c>
      <c r="L9">
        <v>170</v>
      </c>
      <c r="M9">
        <v>4500</v>
      </c>
    </row>
    <row r="10" spans="1:19" x14ac:dyDescent="0.35">
      <c r="A10" t="s">
        <v>141</v>
      </c>
      <c r="B10">
        <v>1</v>
      </c>
      <c r="C10" t="s">
        <v>124</v>
      </c>
      <c r="D10" t="s">
        <v>131</v>
      </c>
      <c r="E10" t="s">
        <v>122</v>
      </c>
      <c r="F10" t="s">
        <v>128</v>
      </c>
      <c r="G10" t="s">
        <v>125</v>
      </c>
      <c r="H10" t="s">
        <v>129</v>
      </c>
      <c r="I10" t="s">
        <v>146</v>
      </c>
      <c r="J10" t="s">
        <v>121</v>
      </c>
      <c r="K10" t="s">
        <v>124</v>
      </c>
      <c r="L10">
        <v>172</v>
      </c>
      <c r="M10">
        <v>4604</v>
      </c>
    </row>
    <row r="11" spans="1:19" hidden="1" x14ac:dyDescent="0.35">
      <c r="A11" t="s">
        <v>142</v>
      </c>
      <c r="B11">
        <v>1</v>
      </c>
      <c r="C11" t="s">
        <v>124</v>
      </c>
      <c r="D11" t="s">
        <v>131</v>
      </c>
      <c r="E11" t="s">
        <v>122</v>
      </c>
      <c r="F11" t="s">
        <v>128</v>
      </c>
      <c r="G11" t="s">
        <v>125</v>
      </c>
      <c r="H11" t="s">
        <v>129</v>
      </c>
      <c r="I11" t="s">
        <v>146</v>
      </c>
      <c r="J11" t="s">
        <v>121</v>
      </c>
      <c r="K11" t="s">
        <v>124</v>
      </c>
      <c r="L11">
        <v>183</v>
      </c>
      <c r="M11">
        <v>4610</v>
      </c>
    </row>
    <row r="12" spans="1:19" hidden="1" x14ac:dyDescent="0.35">
      <c r="A12" t="s">
        <v>143</v>
      </c>
      <c r="B12">
        <v>1</v>
      </c>
      <c r="C12" t="s">
        <v>124</v>
      </c>
      <c r="D12" t="s">
        <v>131</v>
      </c>
      <c r="E12" t="s">
        <v>122</v>
      </c>
      <c r="F12" t="s">
        <v>128</v>
      </c>
      <c r="G12" t="s">
        <v>125</v>
      </c>
      <c r="H12" t="s">
        <v>132</v>
      </c>
      <c r="I12" t="s">
        <v>130</v>
      </c>
      <c r="J12" t="s">
        <v>121</v>
      </c>
      <c r="K12" t="s">
        <v>128</v>
      </c>
      <c r="L12">
        <v>178</v>
      </c>
      <c r="M12">
        <v>4445</v>
      </c>
    </row>
    <row r="13" spans="1:19" hidden="1" x14ac:dyDescent="0.35">
      <c r="A13" t="s">
        <v>144</v>
      </c>
      <c r="B13">
        <v>1</v>
      </c>
      <c r="C13" t="s">
        <v>124</v>
      </c>
      <c r="D13" t="s">
        <v>131</v>
      </c>
      <c r="E13" t="s">
        <v>122</v>
      </c>
      <c r="F13" t="s">
        <v>128</v>
      </c>
      <c r="G13" t="s">
        <v>125</v>
      </c>
      <c r="H13" t="s">
        <v>129</v>
      </c>
      <c r="I13" t="s">
        <v>130</v>
      </c>
      <c r="J13" t="s">
        <v>121</v>
      </c>
      <c r="K13" t="s">
        <v>121</v>
      </c>
      <c r="L13">
        <v>168</v>
      </c>
      <c r="M13">
        <v>4560</v>
      </c>
    </row>
    <row r="14" spans="1:19" hidden="1" x14ac:dyDescent="0.35">
      <c r="A14" t="s">
        <v>145</v>
      </c>
      <c r="B14">
        <v>1</v>
      </c>
      <c r="C14" t="s">
        <v>124</v>
      </c>
      <c r="D14" t="s">
        <v>131</v>
      </c>
      <c r="E14" t="s">
        <v>122</v>
      </c>
      <c r="F14" t="s">
        <v>128</v>
      </c>
      <c r="G14" t="s">
        <v>125</v>
      </c>
      <c r="H14" t="s">
        <v>129</v>
      </c>
      <c r="I14" t="s">
        <v>130</v>
      </c>
      <c r="J14" t="s">
        <v>121</v>
      </c>
      <c r="K14" t="s">
        <v>121</v>
      </c>
      <c r="L14">
        <v>173</v>
      </c>
      <c r="M14">
        <v>4433</v>
      </c>
    </row>
  </sheetData>
  <autoFilter ref="A2:S14" xr:uid="{00000000-0009-0000-0000-000005000000}">
    <filterColumn colId="0">
      <filters>
        <filter val="Fire"/>
        <filter val="Ross Hickma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Stats Calculator</vt:lpstr>
      <vt:lpstr>Code Table</vt:lpstr>
      <vt:lpstr>Live Ladder</vt:lpstr>
      <vt:lpstr>Engine</vt:lpstr>
      <vt:lpstr>All Tipsters</vt:lpstr>
      <vt:lpstr>Data</vt:lpstr>
      <vt:lpstr>Logos</vt:lpstr>
      <vt:lpstr>Sheet1</vt:lpstr>
      <vt:lpstr>'Stats Calculator'!IconPaste</vt:lpstr>
      <vt:lpstr>'Stats Calculator'!Print_Area</vt:lpstr>
      <vt:lpstr>'Stats Calculator'!Teams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Spit</dc:creator>
  <cp:lastModifiedBy>Rob Spit</cp:lastModifiedBy>
  <dcterms:created xsi:type="dcterms:W3CDTF">2014-09-04T10:35:50Z</dcterms:created>
  <dcterms:modified xsi:type="dcterms:W3CDTF">2026-03-21T06:31:12Z</dcterms:modified>
</cp:coreProperties>
</file>