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DB6DB69B-2EB6-435F-A5D2-F42A957D9E1E}"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8" i="1" l="1"/>
  <c r="AB48" i="1" s="1"/>
  <c r="V53" i="1"/>
  <c r="AB53" i="1" s="1"/>
  <c r="V38" i="1"/>
  <c r="AB38" i="1" s="1"/>
  <c r="V32" i="1"/>
  <c r="AB32" i="1" s="1"/>
  <c r="V40" i="1"/>
  <c r="AB40" i="1" s="1"/>
  <c r="V41" i="1"/>
  <c r="AB41" i="1" s="1"/>
  <c r="V54" i="1"/>
  <c r="AB54" i="1" s="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<sst xmlns="http://schemas.openxmlformats.org/spreadsheetml/2006/main" count="1866" uniqueCount="237">
  <si>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</si>
  <si>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</si>
  <si>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</si>
  <si>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</si>
  <si>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</si>
  <si>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</si>
  <si>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</si>
  <si>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</si>
  <si>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</si>
  <si>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</si>
  <si>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</si>
  <si>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</si>
  <si>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</si>
  <si>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</si>
  <si>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</si>
  <si>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</si>
  <si>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</si>
  <si>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</si>
  <si>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</si>
  <si>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</si>
  <si>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</si>
  <si>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</si>
  <si>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</si>
  <si>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</si>
  <si>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</si>
  <si>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</si>
  <si>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</si>
  <si>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</si>
  <si>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</si>
  <si>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</si>
  <si>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</si>
  <si>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</si>
  <si>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</si>
  <si>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</si>
  <si>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</si>
  <si>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</si>
  <si>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</si>
  <si>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</si>
  <si>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</si>
  <si>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</si>
  <si>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</si>
  <si>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</si>
  <si>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</si>
  <si>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</si>
  <si>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</si>
  <si>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</si>
  <si>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</si>
  <si>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</si>
  <si>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</si>
  <si>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</si>
  <si>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</si>
  <si>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</si>
  <si>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</si>
  <si>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</si>
  <si>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</si>
  <si>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</si>
  <si>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</si>
  <si>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</si>
  <si>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</si>
  <si>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</si>
  <si>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</si>
  <si>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</si>
  <si>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</si>
  <si>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</si>
  <si>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</si>
  <si>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</si>
  <si>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</si>
  <si>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</si>
  <si>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</si>
  <si>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</si>
  <si>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</si>
  <si>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</si>
  <si>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</si>
  <si>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</si>
  <si>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</si>
  <si>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</si>
  <si>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</si>
  <si>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</si>
  <si>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</si>
  <si>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</si>
  <si>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</si>
  <si>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</si>
  <si>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</si>
  <si>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</si>
  <si>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</si>
  <si>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</si>
  <si>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</si>
  <si>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</si>
  <si>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</si>
  <si>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</si>
  <si>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</si>
  <si>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</si>
  <si>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</si>
  <si>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</si>
  <si>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</si>
  <si>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</si>
  <si>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</si>
  <si>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</si>
  <si>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</si>
  <si>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</si>
  <si>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</si>
  <si>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</si>
  <si>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</si>
  <si>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</si>
  <si>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</si>
  <si>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</si>
  <si>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</si>
  <si>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</si>
  <si>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</si>
  <si>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</si>
  <si>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</si>
  <si>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</si>
  <si>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</si>
  <si>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</si>
  <si>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</si>
  <si>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</si>
  <si>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</si>
  <si>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</si>
  <si>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</si>
  <si>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</si>
  <si>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</si>
  <si>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</si>
  <si>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</si>
  <si>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</si>
  <si>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</si>
  <si>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</si>
  <si>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</si>
  <si>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</si>
  <si>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</si>
  <si>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</si>
  <si>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</si>
  <si>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</si>
  <si>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</si>
  <si>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</si>
  <si>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</si>
  <si>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</si>
  <si>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</si>
  <si>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</si>
  <si>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</si>
  <si>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</si>
  <si>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</si>
  <si>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</si>
  <si>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</si>
  <si>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</si>
  <si>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</si>
  <si>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</si>
  <si>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</si>
  <si>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</si>
  <si>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</si>
  <si>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</si>
  <si>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</si>
  <si>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</si>
  <si>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</si>
  <si>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</si>
  <si>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</si>
  <si>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</si>
  <si>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</si>
  <si>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</si>
  <si>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</si>
  <si>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</si>
  <si>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</si>
  <si>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</si>
  <si>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</si>
  <si>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</si>
  <si>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</si>
  <si>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</si>
  <si>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</si>
  <si>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</si>
  <si>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</si>
  <si>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</si>
  <si>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</si>
  <si>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</si>
  <si>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</si>
  <si>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</si>
  <si>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</si>
  <si>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</si>
  <si>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</si>
  <si>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</si>
  <si>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</si>
  <si>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</si>
  <si>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</si>
  <si>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</si>
  <si>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</si>
  <si>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</si>
  <si>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</si>
  <si>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</si>
  <si>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</si>
  <si>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</si>
  <si>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</si>
  <si>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</si>
  <si>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</si>
  <si>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</si>
  <si>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</si>
  <si>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</si>
  <si>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</si>
  <si>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</si>
  <si>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</si>
  <si>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</si>
  <si>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</si>
  <si>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</si>
  <si>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</si>
  <si>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</si>
  <si>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</si>
  <si>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</si>
  <si>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</si>
  <si>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</si>
  <si>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</si>
  <si>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</si>
  <si>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</si>
  <si>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</si>
  <si>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</si>
  <si>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</si>
  <si>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</si>
  <si>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</si>
  <si>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</si>
  <si>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Dolphins</t>
  </si>
  <si>
    <t>Titans</t>
  </si>
  <si>
    <t>16.1</t>
  </si>
  <si>
    <t>Fri 8:00pm AEST</t>
  </si>
  <si>
    <t>16.2</t>
  </si>
  <si>
    <t>Sat 3:00pm AEST</t>
  </si>
  <si>
    <t>16.3</t>
  </si>
  <si>
    <t>Knights</t>
  </si>
  <si>
    <t>Sat 5:30pm AEST</t>
  </si>
  <si>
    <t>Active Players</t>
  </si>
  <si>
    <t>16.4</t>
  </si>
  <si>
    <t>Sat 7:35pm AEST</t>
  </si>
  <si>
    <t>16.5</t>
  </si>
  <si>
    <t>Sun 2:00pm AEST</t>
  </si>
  <si>
    <t>16.6</t>
  </si>
  <si>
    <t>Sun 4:05pm AEST</t>
  </si>
  <si>
    <t>16.7</t>
  </si>
  <si>
    <t>Sun 6:15pm AEST</t>
  </si>
  <si>
    <t>16.8</t>
  </si>
  <si>
    <t xml:space="preserve">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</si>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</sst>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51">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xf numFmtId="0" fontId="4" fillId="0" borderId="1" xfId="38" applyBorder="1" applyAlignment="1" applyProtection="1">
      <alignment horizontal="center"/>
      <protection hidden="1"/>
    </xf>
    <xf numFmtId="0" fontId="0" fillId="0" borderId="1" xfId="0" applyBorder="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1</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0</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52</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52</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26</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27</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3</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50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19</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34</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50</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3</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1</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52</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3</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50</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52</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1</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6.png"/><Relationship Id="rId3" Type="http://schemas.openxmlformats.org/officeDocument/2006/relationships/image" Target="../media/image17.png"/><Relationship Id="rId7" Type="http://schemas.openxmlformats.org/officeDocument/2006/relationships/image" Target="../media/image12.png"/><Relationship Id="rId12" Type="http://schemas.openxmlformats.org/officeDocument/2006/relationships/image" Target="../media/image3.png"/><Relationship Id="rId17" Type="http://schemas.openxmlformats.org/officeDocument/2006/relationships/image" Target="../media/image4.png"/><Relationship Id="rId2" Type="http://schemas.openxmlformats.org/officeDocument/2006/relationships/image" Target="../media/image14.png"/><Relationship Id="rId16" Type="http://schemas.openxmlformats.org/officeDocument/2006/relationships/image" Target="../media/image19.png"/><Relationship Id="rId1" Type="http://schemas.openxmlformats.org/officeDocument/2006/relationships/image" Target="../media/image11.png"/><Relationship Id="rId6" Type="http://schemas.openxmlformats.org/officeDocument/2006/relationships/image" Target="../media/image13.png"/><Relationship Id="rId11" Type="http://schemas.openxmlformats.org/officeDocument/2006/relationships/image" Target="../media/image6.png"/><Relationship Id="rId5" Type="http://schemas.openxmlformats.org/officeDocument/2006/relationships/image" Target="../media/image9.png"/><Relationship Id="rId15" Type="http://schemas.openxmlformats.org/officeDocument/2006/relationships/image" Target="../media/image18.png"/><Relationship Id="rId10" Type="http://schemas.openxmlformats.org/officeDocument/2006/relationships/image" Target="../media/image5.png"/><Relationship Id="rId4" Type="http://schemas.openxmlformats.org/officeDocument/2006/relationships/image" Target="../media/image15.png"/><Relationship Id="rId9" Type="http://schemas.openxmlformats.org/officeDocument/2006/relationships/image" Target="../media/image8.png"/><Relationship Id="rId1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88900</xdr:colOff>
      <xdr:row>4</xdr:row>
      <xdr:rowOff>25400</xdr:rowOff>
    </xdr:from>
    <xdr:to>
      <xdr:col>7</xdr:col>
      <xdr:colOff>520700</xdr:colOff>
      <xdr:row>6</xdr:row>
      <xdr:rowOff>139700</xdr:rowOff>
    </xdr:to>
    <xdr:pic>
      <xdr:nvPicPr>
        <xdr:cNvPr id="13" name="Picture 12">
          <a:extLst>
            <a:ext uri="{FF2B5EF4-FFF2-40B4-BE49-F238E27FC236}">
              <a16:creationId xmlns:a16="http://schemas.microsoft.com/office/drawing/2014/main" id="{308EB001-98F3-4351-B707-2252BA74EB67}"/>
            </a:ext>
          </a:extLst>
        </xdr:cNvPr>
        <xdr:cNvPicPr>
          <a:picLocks noChangeAspect="1"/>
        </xdr:cNvPicPr>
      </xdr:nvPicPr>
      <xdr:blipFill>
        <a:blip xmlns:r="http://schemas.openxmlformats.org/officeDocument/2006/relationships" r:embed="rId13"/>
        <a:stretch>
          <a:fillRect/>
        </a:stretch>
      </xdr:blipFill>
      <xdr:spPr>
        <a:xfrm>
          <a:off x="704850" y="2940050"/>
          <a:ext cx="431800" cy="431800"/>
        </a:xfrm>
        <a:prstGeom prst="rect">
          <a:avLst/>
        </a:prstGeom>
      </xdr:spPr>
    </xdr:pic>
    <xdr:clientData/>
  </xdr:twoCellAnchor>
  <xdr:twoCellAnchor editAs="oneCell">
    <xdr:from>
      <xdr:col>7</xdr:col>
      <xdr:colOff>82551</xdr:colOff>
      <xdr:row>7</xdr:row>
      <xdr:rowOff>15876</xdr:rowOff>
    </xdr:from>
    <xdr:to>
      <xdr:col>7</xdr:col>
      <xdr:colOff>540858</xdr:colOff>
      <xdr:row>9</xdr:row>
      <xdr:rowOff>139700</xdr:rowOff>
    </xdr:to>
    <xdr:pic>
      <xdr:nvPicPr>
        <xdr:cNvPr id="14" name="Picture 13">
          <a:extLst>
            <a:ext uri="{FF2B5EF4-FFF2-40B4-BE49-F238E27FC236}">
              <a16:creationId xmlns:a16="http://schemas.microsoft.com/office/drawing/2014/main" id="{5AED2D0E-FC6A-4CAD-94FF-5112C9FBFAE6}"/>
            </a:ext>
          </a:extLst>
        </xdr:cNvPr>
        <xdr:cNvPicPr>
          <a:picLocks noChangeAspect="1"/>
        </xdr:cNvPicPr>
      </xdr:nvPicPr>
      <xdr:blipFill>
        <a:blip xmlns:r="http://schemas.openxmlformats.org/officeDocument/2006/relationships" r:embed="rId14"/>
        <a:stretch>
          <a:fillRect/>
        </a:stretch>
      </xdr:blipFill>
      <xdr:spPr>
        <a:xfrm>
          <a:off x="698501" y="73026"/>
          <a:ext cx="461482" cy="444499"/>
        </a:xfrm>
        <a:prstGeom prst="rect">
          <a:avLst/>
        </a:prstGeom>
      </xdr:spPr>
    </xdr:pic>
    <xdr:clientData/>
  </xdr:twoCellAnchor>
  <xdr:twoCellAnchor>
    <xdr:from>
      <xdr:col>7</xdr:col>
      <xdr:colOff>107950</xdr:colOff>
      <xdr:row>13</xdr:row>
      <xdr:rowOff>31750</xdr:rowOff>
    </xdr:from>
    <xdr:to>
      <xdr:col>7</xdr:col>
      <xdr:colOff>533400</xdr:colOff>
      <xdr:row>15</xdr:row>
      <xdr:rowOff>139700</xdr:rowOff>
    </xdr:to>
    <xdr:pic>
      <xdr:nvPicPr>
        <xdr:cNvPr id="15" name="Picture 14">
          <a:extLst>
            <a:ext uri="{FF2B5EF4-FFF2-40B4-BE49-F238E27FC236}">
              <a16:creationId xmlns:a16="http://schemas.microsoft.com/office/drawing/2014/main" id="{8E710D23-4086-4815-835C-8B9747E995FA}"/>
            </a:ext>
          </a:extLst>
        </xdr:cNvPr>
        <xdr:cNvPicPr>
          <a:picLocks noChangeAspect="1"/>
        </xdr:cNvPicPr>
      </xdr:nvPicPr>
      <xdr:blipFill>
        <a:blip xmlns:r="http://schemas.openxmlformats.org/officeDocument/2006/relationships" r:embed="rId15"/>
        <a:stretch>
          <a:fillRect/>
        </a:stretch>
      </xdr:blipFill>
      <xdr:spPr>
        <a:xfrm>
          <a:off x="723900" y="2470150"/>
          <a:ext cx="425450" cy="425450"/>
        </a:xfrm>
        <a:prstGeom prst="rect">
          <a:avLst/>
        </a:prstGeom>
      </xdr:spPr>
    </xdr:pic>
    <xdr:clientData/>
  </xdr:twoCellAnchor>
  <xdr:twoCellAnchor>
    <xdr:from>
      <xdr:col>7</xdr:col>
      <xdr:colOff>82551</xdr:colOff>
      <xdr:row>16</xdr:row>
      <xdr:rowOff>19051</xdr:rowOff>
    </xdr:from>
    <xdr:to>
      <xdr:col>7</xdr:col>
      <xdr:colOff>520700</xdr:colOff>
      <xdr:row>18</xdr:row>
      <xdr:rowOff>139700</xdr:rowOff>
    </xdr:to>
    <xdr:pic>
      <xdr:nvPicPr>
        <xdr:cNvPr id="16" name="Picture 15">
          <a:extLst>
            <a:ext uri="{FF2B5EF4-FFF2-40B4-BE49-F238E27FC236}">
              <a16:creationId xmlns:a16="http://schemas.microsoft.com/office/drawing/2014/main" id="{10DB1862-E0CF-4706-86B1-CFE809C62B95}"/>
            </a:ext>
          </a:extLst>
        </xdr:cNvPr>
        <xdr:cNvPicPr>
          <a:picLocks noChangeAspect="1"/>
        </xdr:cNvPicPr>
      </xdr:nvPicPr>
      <xdr:blipFill>
        <a:blip xmlns:r="http://schemas.openxmlformats.org/officeDocument/2006/relationships" r:embed="rId16"/>
        <a:stretch>
          <a:fillRect/>
        </a:stretch>
      </xdr:blipFill>
      <xdr:spPr>
        <a:xfrm>
          <a:off x="82551" y="2933701"/>
          <a:ext cx="438149" cy="438149"/>
        </a:xfrm>
        <a:prstGeom prst="rect">
          <a:avLst/>
        </a:prstGeom>
      </xdr:spPr>
    </xdr:pic>
    <xdr:clientData/>
  </xdr:twoCellAnchor>
  <xdr:twoCellAnchor>
    <xdr:from>
      <xdr:col>7</xdr:col>
      <xdr:colOff>63500</xdr:colOff>
      <xdr:row>22</xdr:row>
      <xdr:rowOff>25400</xdr:rowOff>
    </xdr:from>
    <xdr:to>
      <xdr:col>7</xdr:col>
      <xdr:colOff>552450</xdr:colOff>
      <xdr:row>24</xdr:row>
      <xdr:rowOff>133350</xdr:rowOff>
    </xdr:to>
    <xdr:pic>
      <xdr:nvPicPr>
        <xdr:cNvPr id="17" name="Picture 35">
          <a:extLst>
            <a:ext uri="{FF2B5EF4-FFF2-40B4-BE49-F238E27FC236}">
              <a16:creationId xmlns:a16="http://schemas.microsoft.com/office/drawing/2014/main" id="{913369D9-1340-4C17-BC25-E31094CEF9B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295400" y="82550"/>
          <a:ext cx="48895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25</xdr:row>
      <xdr:rowOff>19050</xdr:rowOff>
    </xdr:from>
    <xdr:to>
      <xdr:col>7</xdr:col>
      <xdr:colOff>546100</xdr:colOff>
      <xdr:row>27</xdr:row>
      <xdr:rowOff>152400</xdr:rowOff>
    </xdr:to>
    <xdr:pic>
      <xdr:nvPicPr>
        <xdr:cNvPr id="18" name="Picture 17">
          <a:extLst>
            <a:ext uri="{FF2B5EF4-FFF2-40B4-BE49-F238E27FC236}">
              <a16:creationId xmlns:a16="http://schemas.microsoft.com/office/drawing/2014/main" id="{726688BD-5E28-4083-99C8-C96CEF4CD7EF}"/>
            </a:ext>
          </a:extLst>
        </xdr:cNvPr>
        <xdr:cNvPicPr>
          <a:picLocks noChangeAspect="1"/>
        </xdr:cNvPicPr>
      </xdr:nvPicPr>
      <xdr:blipFill>
        <a:blip xmlns:r="http://schemas.openxmlformats.org/officeDocument/2006/relationships" r:embed="rId18"/>
        <a:stretch>
          <a:fillRect/>
        </a:stretch>
      </xdr:blipFill>
      <xdr:spPr>
        <a:xfrm>
          <a:off x="95250" y="2457450"/>
          <a:ext cx="450850" cy="450850"/>
        </a:xfrm>
        <a:prstGeom prst="rect">
          <a:avLst/>
        </a:prstGeom>
      </xdr:spPr>
    </xdr:pic>
    <xdr:clientData/>
  </xdr:twoCellAnchor>
  <xdr:twoCellAnchor>
    <xdr:from>
      <xdr:col>7</xdr:col>
      <xdr:colOff>95250</xdr:colOff>
      <xdr:row>31</xdr:row>
      <xdr:rowOff>19050</xdr:rowOff>
    </xdr:from>
    <xdr:to>
      <xdr:col>7</xdr:col>
      <xdr:colOff>533400</xdr:colOff>
      <xdr:row>33</xdr:row>
      <xdr:rowOff>139700</xdr:rowOff>
    </xdr:to>
    <xdr:pic>
      <xdr:nvPicPr>
        <xdr:cNvPr id="19" name="Picture 96">
          <a:extLst>
            <a:ext uri="{FF2B5EF4-FFF2-40B4-BE49-F238E27FC236}">
              <a16:creationId xmlns:a16="http://schemas.microsoft.com/office/drawing/2014/main" id="{9770D20E-29C6-483B-B54B-752951A3EFCC}"/>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5250" y="34099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34</xdr:row>
      <xdr:rowOff>19050</xdr:rowOff>
    </xdr:from>
    <xdr:to>
      <xdr:col>7</xdr:col>
      <xdr:colOff>558800</xdr:colOff>
      <xdr:row>36</xdr:row>
      <xdr:rowOff>146050</xdr:rowOff>
    </xdr:to>
    <xdr:pic>
      <xdr:nvPicPr>
        <xdr:cNvPr id="20" name="Picture 39">
          <a:extLst>
            <a:ext uri="{FF2B5EF4-FFF2-40B4-BE49-F238E27FC236}">
              <a16:creationId xmlns:a16="http://schemas.microsoft.com/office/drawing/2014/main" id="{B83416B2-5E75-4C80-BA1C-FAD08BC71667}"/>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30250" y="19812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82550</xdr:colOff>
      <xdr:row>4</xdr:row>
      <xdr:rowOff>25400</xdr:rowOff>
    </xdr:from>
    <xdr:to>
      <xdr:col>13</xdr:col>
      <xdr:colOff>577850</xdr:colOff>
      <xdr:row>6</xdr:row>
      <xdr:rowOff>139700</xdr:rowOff>
    </xdr:to>
    <xdr:pic>
      <xdr:nvPicPr>
        <xdr:cNvPr id="21" name="Picture 89">
          <a:extLst>
            <a:ext uri="{FF2B5EF4-FFF2-40B4-BE49-F238E27FC236}">
              <a16:creationId xmlns:a16="http://schemas.microsoft.com/office/drawing/2014/main" id="{9EB96831-D8A1-4DB1-B789-A29A5FE8EA0D}"/>
            </a:ext>
          </a:extLst>
        </xdr:cNvPr>
        <xdr:cNvPicPr preferRelativeResize="0">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82550" y="82550"/>
          <a:ext cx="4953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7</xdr:row>
      <xdr:rowOff>19050</xdr:rowOff>
    </xdr:from>
    <xdr:to>
      <xdr:col>13</xdr:col>
      <xdr:colOff>539750</xdr:colOff>
      <xdr:row>9</xdr:row>
      <xdr:rowOff>146050</xdr:rowOff>
    </xdr:to>
    <xdr:pic>
      <xdr:nvPicPr>
        <xdr:cNvPr id="22" name="Picture 100">
          <a:extLst>
            <a:ext uri="{FF2B5EF4-FFF2-40B4-BE49-F238E27FC236}">
              <a16:creationId xmlns:a16="http://schemas.microsoft.com/office/drawing/2014/main" id="{88C7B0D5-CC35-45E6-B7E2-8DD9E0B6532C}"/>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11200" y="15049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13</xdr:row>
      <xdr:rowOff>12700</xdr:rowOff>
    </xdr:from>
    <xdr:to>
      <xdr:col>13</xdr:col>
      <xdr:colOff>546100</xdr:colOff>
      <xdr:row>15</xdr:row>
      <xdr:rowOff>146050</xdr:rowOff>
    </xdr:to>
    <xdr:pic>
      <xdr:nvPicPr>
        <xdr:cNvPr id="23" name="Picture 98">
          <a:extLst>
            <a:ext uri="{FF2B5EF4-FFF2-40B4-BE49-F238E27FC236}">
              <a16:creationId xmlns:a16="http://schemas.microsoft.com/office/drawing/2014/main" id="{F669BB47-1266-420F-A311-CF2A9AA3479A}"/>
            </a:ext>
          </a:extLst>
        </xdr:cNvPr>
        <xdr:cNvPicPr preferRelativeResize="0">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11200" y="5461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107950</xdr:colOff>
      <xdr:row>16</xdr:row>
      <xdr:rowOff>25400</xdr:rowOff>
    </xdr:from>
    <xdr:to>
      <xdr:col>13</xdr:col>
      <xdr:colOff>539750</xdr:colOff>
      <xdr:row>18</xdr:row>
      <xdr:rowOff>139700</xdr:rowOff>
    </xdr:to>
    <xdr:pic>
      <xdr:nvPicPr>
        <xdr:cNvPr id="24" name="Picture 91">
          <a:extLst>
            <a:ext uri="{FF2B5EF4-FFF2-40B4-BE49-F238E27FC236}">
              <a16:creationId xmlns:a16="http://schemas.microsoft.com/office/drawing/2014/main" id="{6D927DC7-4FC7-4906-944E-27FC3264038A}"/>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107950" y="10350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19050</xdr:rowOff>
    </xdr:from>
    <xdr:to>
      <xdr:col>13</xdr:col>
      <xdr:colOff>546100</xdr:colOff>
      <xdr:row>24</xdr:row>
      <xdr:rowOff>152400</xdr:rowOff>
    </xdr:to>
    <xdr:pic>
      <xdr:nvPicPr>
        <xdr:cNvPr id="25" name="Picture 93">
          <a:extLst>
            <a:ext uri="{FF2B5EF4-FFF2-40B4-BE49-F238E27FC236}">
              <a16:creationId xmlns:a16="http://schemas.microsoft.com/office/drawing/2014/main" id="{EC7077AB-77FA-475C-8F07-F239B88072A2}"/>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5250" y="198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25</xdr:row>
      <xdr:rowOff>12700</xdr:rowOff>
    </xdr:from>
    <xdr:to>
      <xdr:col>13</xdr:col>
      <xdr:colOff>514350</xdr:colOff>
      <xdr:row>27</xdr:row>
      <xdr:rowOff>139700</xdr:rowOff>
    </xdr:to>
    <xdr:pic>
      <xdr:nvPicPr>
        <xdr:cNvPr id="26" name="Picture 25">
          <a:extLst>
            <a:ext uri="{FF2B5EF4-FFF2-40B4-BE49-F238E27FC236}">
              <a16:creationId xmlns:a16="http://schemas.microsoft.com/office/drawing/2014/main" id="{B2CBD924-42B2-420E-BB7F-1E8AB869D2F0}"/>
            </a:ext>
          </a:extLst>
        </xdr:cNvPr>
        <xdr:cNvPicPr>
          <a:picLocks noChangeAspect="1"/>
        </xdr:cNvPicPr>
      </xdr:nvPicPr>
      <xdr:blipFill>
        <a:blip xmlns:r="http://schemas.openxmlformats.org/officeDocument/2006/relationships" r:embed="rId26"/>
        <a:stretch>
          <a:fillRect/>
        </a:stretch>
      </xdr:blipFill>
      <xdr:spPr>
        <a:xfrm>
          <a:off x="685800" y="3403600"/>
          <a:ext cx="444500" cy="444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16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0</v>
      </c>
      <c r="AI3" s="114" t="s">
        <v>91</v>
      </c>
    </row>
    <row r="4" spans="1:35" x14ac:dyDescent="0.35">
      <c r="B4" s="25"/>
      <c r="C4" s="139" t="s">
        <v>23</v>
      </c>
      <c r="D4" s="139"/>
      <c r="E4" s="17"/>
      <c r="F4" s="17"/>
      <c r="G4" s="32" t="str">
        <f>IF($AI$23=1,Data!Q3,"Standouts")</f>
        <v>Fri 8:00pm AEST</v>
      </c>
      <c r="H4" s="27"/>
      <c r="I4" s="27"/>
      <c r="J4" s="27"/>
      <c r="K4" s="27"/>
      <c r="L4" s="50"/>
      <c r="M4" s="96" t="str">
        <f>IF($AI$23=1,Data!Q7,"Standouts")</f>
        <v>Sun 2:00pm AEST</v>
      </c>
      <c r="N4" s="96"/>
      <c r="O4" s="96"/>
      <c r="P4" s="96"/>
      <c r="Q4" s="96"/>
      <c r="R4" s="48"/>
      <c r="AG4" s="57">
        <v>11</v>
      </c>
      <c r="AH4" s="57">
        <f>COUNTIF(Engine!AL$1:AL$90,AG4)</f>
        <v>52</v>
      </c>
      <c r="AI4" s="114" t="s">
        <v>92</v>
      </c>
    </row>
    <row r="5" spans="1:35" x14ac:dyDescent="0.35">
      <c r="B5" s="25"/>
      <c r="C5" s="139"/>
      <c r="D5" s="139"/>
      <c r="E5" s="17"/>
      <c r="F5" s="17"/>
      <c r="G5" s="26"/>
      <c r="H5" s="134"/>
      <c r="K5" s="27"/>
      <c r="M5" s="97"/>
      <c r="N5" s="133"/>
      <c r="Q5" s="96"/>
      <c r="R5" s="48"/>
      <c r="AG5" s="57">
        <v>10</v>
      </c>
      <c r="AH5" s="57">
        <f>COUNTIF(Engine!AL$1:AL$90,AG5)</f>
        <v>0</v>
      </c>
      <c r="AI5" s="114" t="s">
        <v>93</v>
      </c>
    </row>
    <row r="6" spans="1:35" x14ac:dyDescent="0.35">
      <c r="B6" s="25"/>
      <c r="C6" s="19" t="s">
        <v>24</v>
      </c>
      <c r="D6" s="17"/>
      <c r="E6" s="17"/>
      <c r="F6" s="17"/>
      <c r="G6" s="26"/>
      <c r="H6" s="134"/>
      <c r="K6" s="29" t="str">
        <f>ROUND(AE14,1)&amp;"%"</f>
        <v>1.9%</v>
      </c>
      <c r="M6" s="97"/>
      <c r="N6" s="133"/>
      <c r="Q6" s="98" t="str">
        <f>IF(T23&lt;5,"",ROUND(AE10,1)&amp;"%")</f>
        <v>64.2%</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0</v>
      </c>
    </row>
    <row r="7" spans="1:35" ht="12.75" customHeight="1" x14ac:dyDescent="0.35">
      <c r="B7" s="25"/>
      <c r="C7" s="19" t="s">
        <v>35</v>
      </c>
      <c r="D7" s="17"/>
      <c r="E7" s="17"/>
      <c r="F7" s="17"/>
      <c r="G7" s="51"/>
      <c r="H7" s="134"/>
      <c r="I7" s="50"/>
      <c r="J7" s="50"/>
      <c r="K7" s="49"/>
      <c r="M7" s="97"/>
      <c r="N7" s="133"/>
      <c r="O7" s="50"/>
      <c r="P7" s="50"/>
      <c r="Q7" s="98"/>
      <c r="R7" s="48"/>
      <c r="S7" s="57">
        <v>8</v>
      </c>
      <c r="T7" s="57" t="str">
        <f>IF(T23&lt;8,"",COUNTIF(Engine!P1:P90,$AA$24))</f>
        <v/>
      </c>
      <c r="U7" s="57" t="str">
        <f>IF(T23&lt;8,"",COUNTIF(Engine!P1:P90,$AA$25))</f>
        <v/>
      </c>
      <c r="V7" s="57" t="str">
        <f>IF(T23&lt;8,"",COUNTIF(Engine!Q1:Q90,AA24))</f>
        <v/>
      </c>
      <c r="W7" s="57" t="str">
        <f>IF(T23&lt;8,"",COUNTIF(Engine!Q1:Q90,AA25))</f>
        <v/>
      </c>
      <c r="X7" s="57" t="str">
        <f>IF(T23&lt;8,"",T7/($V$22)*100)</f>
        <v/>
      </c>
      <c r="Y7" s="57" t="str">
        <f>IF(T23&lt;8,"",100-X7)</f>
        <v/>
      </c>
      <c r="Z7" s="57" t="str">
        <f>IF(T23&lt;8,"",V7/$V$23*100)</f>
        <v/>
      </c>
      <c r="AA7" s="57" t="str">
        <f>IF(T23&lt;8,"",W7/$V$23*100)</f>
        <v/>
      </c>
      <c r="AC7" s="57" t="str">
        <f t="shared" ref="AC7:AD14" si="0">IF($AI$23=1,T7,V7)</f>
        <v/>
      </c>
      <c r="AD7" s="57" t="str">
        <f t="shared" si="0"/>
        <v/>
      </c>
      <c r="AE7" s="57" t="str">
        <f t="shared" ref="AE7:AF14" si="1">IF($AI$23=1,X7,Z7)</f>
        <v/>
      </c>
      <c r="AF7" s="57" t="str">
        <f t="shared" si="1"/>
        <v/>
      </c>
      <c r="AG7" s="57">
        <v>8</v>
      </c>
      <c r="AH7" s="57">
        <f>COUNTIF(Engine!AL$1:AL$90,AG7)</f>
        <v>1</v>
      </c>
      <c r="AI7" s="114" t="s">
        <v>100</v>
      </c>
    </row>
    <row r="8" spans="1:35" ht="12.5" customHeight="1" x14ac:dyDescent="0.35">
      <c r="B8" s="34"/>
      <c r="C8" s="18"/>
      <c r="D8" s="17"/>
      <c r="E8" s="17"/>
      <c r="F8" s="17"/>
      <c r="G8" s="26"/>
      <c r="H8" s="133"/>
      <c r="K8" s="27"/>
      <c r="M8" s="97"/>
      <c r="N8" s="133"/>
      <c r="Q8" s="98"/>
      <c r="R8" s="127"/>
      <c r="S8" s="57">
        <v>7</v>
      </c>
      <c r="T8" s="57">
        <f>IF(T23&lt;7,"",COUNTIF(Engine!O1:O90,$Z$24))</f>
        <v>27</v>
      </c>
      <c r="U8" s="57">
        <f>IF(T23&lt;7,"",COUNTIF(Engine!O1:O90,$Z$25))</f>
        <v>26</v>
      </c>
      <c r="V8" s="57">
        <f>IF(T23&lt;7,"",COUNTIF(Engine!Q1:Q90,Z24))</f>
        <v>1</v>
      </c>
      <c r="W8" s="57">
        <f>IF(T23&lt;7,"",COUNTIF(Engine!Q1:Q90,Z25))</f>
        <v>0</v>
      </c>
      <c r="X8" s="57">
        <f>IF(T23&lt;7,"",T8/($V$22)*100)</f>
        <v>50.943396226415096</v>
      </c>
      <c r="Y8" s="57">
        <f>IF(T23&lt;7,"",100-X8)</f>
        <v>49.056603773584904</v>
      </c>
      <c r="Z8" s="57">
        <f>IF(T23&lt;7,"",V8/$V$23*100)</f>
        <v>1.8867924528301887</v>
      </c>
      <c r="AA8" s="57">
        <f>IF(T23&lt;7,"",W8/$V$23*100)</f>
        <v>0</v>
      </c>
      <c r="AC8" s="57">
        <f t="shared" si="0"/>
        <v>27</v>
      </c>
      <c r="AD8" s="57">
        <f t="shared" si="0"/>
        <v>26</v>
      </c>
      <c r="AE8" s="57">
        <f t="shared" si="1"/>
        <v>50.943396226415096</v>
      </c>
      <c r="AF8" s="57">
        <f t="shared" si="1"/>
        <v>49.056603773584904</v>
      </c>
      <c r="AG8" s="57">
        <v>7</v>
      </c>
      <c r="AH8" s="57">
        <f>COUNTIF(Engine!AL$1:AL$90,AG8)</f>
        <v>0</v>
      </c>
      <c r="AI8" s="114" t="s">
        <v>90</v>
      </c>
    </row>
    <row r="9" spans="1:35" ht="12.75" customHeight="1" x14ac:dyDescent="0.35">
      <c r="B9" s="34"/>
      <c r="C9" s="18"/>
      <c r="D9" s="17"/>
      <c r="E9" s="17"/>
      <c r="F9" s="17"/>
      <c r="G9" s="26"/>
      <c r="H9" s="133"/>
      <c r="K9" s="29" t="str">
        <f>ROUND(AF14,1)&amp;"%"</f>
        <v>98.1%</v>
      </c>
      <c r="L9" s="31"/>
      <c r="M9" s="97"/>
      <c r="N9" s="133"/>
      <c r="Q9" s="98" t="str">
        <f>IF(T23&lt;5,"",ROUND(AF10,1)&amp;"%")</f>
        <v>35.8%</v>
      </c>
      <c r="R9" s="127"/>
      <c r="S9" s="57">
        <v>6</v>
      </c>
      <c r="T9" s="57">
        <f>IF(T23&lt;6,"",COUNTIF(Engine!N1:N90,$Y$24))</f>
        <v>50</v>
      </c>
      <c r="U9" s="57">
        <f>IF(T23&lt;6,"",COUNTIF(Engine!N1:N90,$Y$25))</f>
        <v>3</v>
      </c>
      <c r="V9" s="57">
        <f>IF(T23&lt;6,"",COUNTIF(Engine!Q1:Q90,Y24))</f>
        <v>3</v>
      </c>
      <c r="W9" s="57">
        <f>IF(T23&lt;6,"",COUNTIF(Engine!Q1:Q90,Y25))</f>
        <v>0</v>
      </c>
      <c r="X9" s="57">
        <f>IF(T23&lt;6,"",T9/($V$22)*100)</f>
        <v>94.339622641509436</v>
      </c>
      <c r="Y9" s="57">
        <f>IF(T23&lt;6,"",100-X9)</f>
        <v>5.6603773584905639</v>
      </c>
      <c r="Z9" s="57">
        <f>IF(T23&lt;6,"",V9/$V$23*100)</f>
        <v>5.6603773584905666</v>
      </c>
      <c r="AA9" s="57">
        <f>IF(T23&lt;6,"",W9/$V$23*100)</f>
        <v>0</v>
      </c>
      <c r="AC9" s="57">
        <f t="shared" si="0"/>
        <v>50</v>
      </c>
      <c r="AD9" s="57">
        <f t="shared" si="0"/>
        <v>3</v>
      </c>
      <c r="AE9" s="57">
        <f t="shared" si="1"/>
        <v>94.339622641509436</v>
      </c>
      <c r="AF9" s="57">
        <f t="shared" si="1"/>
        <v>5.6603773584905639</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3"/>
      <c r="Q10" s="98"/>
      <c r="R10" s="127"/>
      <c r="S10" s="57">
        <v>5</v>
      </c>
      <c r="T10" s="57">
        <f>IF(T23&lt;5,"",COUNTIF(Engine!M1:M90,$X$24))</f>
        <v>34</v>
      </c>
      <c r="U10" s="57">
        <f>IF(T23&lt;5,"",COUNTIF(Engine!M1:M90,$X$25))</f>
        <v>19</v>
      </c>
      <c r="V10" s="57">
        <f>IF(T23&lt;5,"",COUNTIF(Engine!Q1:Q90,X24))</f>
        <v>0</v>
      </c>
      <c r="W10" s="57">
        <f>IF(T23&lt;5,"",COUNTIF(Engine!Q1:Q90,X25))</f>
        <v>0</v>
      </c>
      <c r="X10" s="57">
        <f>IF(T23&lt;5,"",T10/($V$22)*100)</f>
        <v>64.15094339622641</v>
      </c>
      <c r="Y10" s="57">
        <f>IF(T23&lt;5,"",100-X10)</f>
        <v>35.84905660377359</v>
      </c>
      <c r="Z10" s="57">
        <f>IF(T23&lt;5,"",V10/$V$23*100)</f>
        <v>0</v>
      </c>
      <c r="AA10" s="57">
        <f>IF(T23&lt;5,"",W10/$V$23*100)</f>
        <v>0</v>
      </c>
      <c r="AC10" s="57">
        <f t="shared" si="0"/>
        <v>34</v>
      </c>
      <c r="AD10" s="57">
        <f t="shared" si="0"/>
        <v>19</v>
      </c>
      <c r="AE10" s="57">
        <f t="shared" si="1"/>
        <v>64.15094339622641</v>
      </c>
      <c r="AF10" s="57">
        <f t="shared" si="1"/>
        <v>35.84905660377359</v>
      </c>
      <c r="AG10" s="57">
        <v>5</v>
      </c>
      <c r="AH10" s="57">
        <f>COUNTIF(Engine!AL$1:AL$90,AG10)</f>
        <v>0</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3</v>
      </c>
      <c r="U11" s="57">
        <f>COUNTIF(Engine!L1:L90,$W$25)</f>
        <v>50</v>
      </c>
      <c r="V11" s="57">
        <f>COUNTIF(Engine!Q1:Q90,W24)</f>
        <v>0</v>
      </c>
      <c r="W11" s="57">
        <f>COUNTIF(Engine!Q1:Q90,W25)</f>
        <v>4</v>
      </c>
      <c r="X11" s="57">
        <f>T11/($V$22)*100</f>
        <v>5.6603773584905666</v>
      </c>
      <c r="Y11" s="57">
        <f>100-X11</f>
        <v>94.339622641509436</v>
      </c>
      <c r="Z11" s="57">
        <f t="shared" ref="Z11:AA14" si="2">V11/$V$23*100</f>
        <v>0</v>
      </c>
      <c r="AA11" s="57">
        <f t="shared" si="2"/>
        <v>7.5471698113207548</v>
      </c>
      <c r="AC11" s="57">
        <f t="shared" si="0"/>
        <v>3</v>
      </c>
      <c r="AD11" s="57">
        <f t="shared" si="0"/>
        <v>50</v>
      </c>
      <c r="AE11" s="57">
        <f t="shared" si="1"/>
        <v>5.6603773584905666</v>
      </c>
      <c r="AF11" s="57">
        <f t="shared" si="1"/>
        <v>94.339622641509436</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52</v>
      </c>
      <c r="U12" s="57">
        <f>COUNTIF(Engine!K1:K90,$V$25)</f>
        <v>1</v>
      </c>
      <c r="V12" s="57">
        <f>COUNTIF(Engine!Q1:Q90,V24)</f>
        <v>15</v>
      </c>
      <c r="W12" s="57">
        <f>COUNTIF(Engine!Q1:Q90,V25)</f>
        <v>0</v>
      </c>
      <c r="X12" s="57">
        <f>T12/($V$22)*100</f>
        <v>98.113207547169807</v>
      </c>
      <c r="Y12" s="57">
        <f>100-X12</f>
        <v>1.8867924528301927</v>
      </c>
      <c r="Z12" s="57">
        <f t="shared" si="2"/>
        <v>28.30188679245283</v>
      </c>
      <c r="AA12" s="57">
        <f t="shared" si="2"/>
        <v>0</v>
      </c>
      <c r="AC12" s="57">
        <f t="shared" si="0"/>
        <v>52</v>
      </c>
      <c r="AD12" s="57">
        <f t="shared" si="0"/>
        <v>1</v>
      </c>
      <c r="AE12" s="57">
        <f t="shared" si="1"/>
        <v>98.113207547169807</v>
      </c>
      <c r="AF12" s="57">
        <f t="shared" si="1"/>
        <v>1.8867924528301927</v>
      </c>
      <c r="AG12" s="57">
        <v>3</v>
      </c>
      <c r="AH12" s="57">
        <f>COUNTIF(Engine!AL$1:AL$90,AG12)</f>
        <v>0</v>
      </c>
      <c r="AI12" s="114" t="s">
        <v>94</v>
      </c>
    </row>
    <row r="13" spans="1:35" ht="12.75" customHeight="1" x14ac:dyDescent="0.35">
      <c r="B13" s="34"/>
      <c r="C13" s="47"/>
      <c r="D13" s="35"/>
      <c r="E13" s="35"/>
      <c r="F13" s="17"/>
      <c r="G13" s="32" t="str">
        <f>IF($AI$23=1,Data!Q4,"")</f>
        <v>Sat 3:00pm AEST</v>
      </c>
      <c r="H13" s="26"/>
      <c r="I13" s="26"/>
      <c r="J13" s="26"/>
      <c r="K13" s="27"/>
      <c r="L13" s="15"/>
      <c r="M13" s="96" t="str">
        <f>IF($AI$23=1,Data!Q8,"")</f>
        <v>Sun 4:05pm AEST</v>
      </c>
      <c r="N13" s="26"/>
      <c r="O13" s="26"/>
      <c r="P13" s="26"/>
      <c r="Q13" s="98"/>
      <c r="R13" s="127"/>
      <c r="S13" s="57">
        <v>2</v>
      </c>
      <c r="T13" s="57">
        <f>COUNTIF(Engine!J1:J90,$U$24)</f>
        <v>50</v>
      </c>
      <c r="U13" s="57">
        <f>COUNTIF(Engine!J1:J90,$U$25)</f>
        <v>3</v>
      </c>
      <c r="V13" s="57">
        <f>COUNTIF(Engine!Q1:Q90,U24)</f>
        <v>8</v>
      </c>
      <c r="W13" s="57">
        <f>COUNTIF(Engine!Q1:Q90,U25)</f>
        <v>0</v>
      </c>
      <c r="X13" s="57">
        <f>T13/($V$22)*100</f>
        <v>94.339622641509436</v>
      </c>
      <c r="Y13" s="57">
        <f>100-X13</f>
        <v>5.6603773584905639</v>
      </c>
      <c r="Z13" s="57">
        <f t="shared" si="2"/>
        <v>15.09433962264151</v>
      </c>
      <c r="AA13" s="57">
        <f t="shared" si="2"/>
        <v>0</v>
      </c>
      <c r="AC13" s="57">
        <f t="shared" si="0"/>
        <v>50</v>
      </c>
      <c r="AD13" s="57">
        <f t="shared" si="0"/>
        <v>3</v>
      </c>
      <c r="AE13" s="57">
        <f t="shared" si="1"/>
        <v>94.339622641509436</v>
      </c>
      <c r="AF13" s="57">
        <f t="shared" si="1"/>
        <v>5.6603773584905639</v>
      </c>
      <c r="AG13" s="57">
        <v>2</v>
      </c>
      <c r="AH13" s="57">
        <f>COUNTIF(Engine!AL$1:AL$90,AG13)</f>
        <v>0</v>
      </c>
      <c r="AI13" s="114" t="s">
        <v>95</v>
      </c>
    </row>
    <row r="14" spans="1:35" ht="12.75" customHeight="1" x14ac:dyDescent="0.35">
      <c r="B14" s="46" t="s">
        <v>19</v>
      </c>
      <c r="C14" s="45"/>
      <c r="D14" s="37"/>
      <c r="E14" s="35"/>
      <c r="F14" s="17"/>
      <c r="G14" s="26"/>
      <c r="H14" s="134"/>
      <c r="K14" s="27"/>
      <c r="L14" s="15"/>
      <c r="M14" s="96"/>
      <c r="N14" s="133"/>
      <c r="Q14" s="98"/>
      <c r="R14" s="4"/>
      <c r="S14" s="57">
        <v>1</v>
      </c>
      <c r="T14" s="57">
        <f>COUNTIF(Engine!I1:I90,$T$24)</f>
        <v>1</v>
      </c>
      <c r="U14" s="57">
        <f>COUNTIF(Engine!I1:I90,$T$25)</f>
        <v>52</v>
      </c>
      <c r="V14" s="57">
        <f>COUNTIF(Engine!Q1:Q90,T24)</f>
        <v>0</v>
      </c>
      <c r="W14" s="57">
        <f>COUNTIF(Engine!Q1:Q90,T25)</f>
        <v>22</v>
      </c>
      <c r="X14" s="57">
        <f>T14/($V$22)*100</f>
        <v>1.8867924528301887</v>
      </c>
      <c r="Y14" s="57">
        <f>100-X14</f>
        <v>98.113207547169807</v>
      </c>
      <c r="Z14" s="57">
        <f t="shared" si="2"/>
        <v>0</v>
      </c>
      <c r="AA14" s="57">
        <f t="shared" si="2"/>
        <v>41.509433962264154</v>
      </c>
      <c r="AC14" s="57">
        <f t="shared" si="0"/>
        <v>1</v>
      </c>
      <c r="AD14" s="57">
        <f t="shared" si="0"/>
        <v>52</v>
      </c>
      <c r="AE14" s="57">
        <f t="shared" si="1"/>
        <v>1.8867924528301887</v>
      </c>
      <c r="AF14" s="57">
        <f t="shared" si="1"/>
        <v>98.113207547169807</v>
      </c>
      <c r="AG14" s="57">
        <v>1</v>
      </c>
      <c r="AH14" s="57">
        <f>COUNTIF(Engine!AL$1:AL$90,AG14)</f>
        <v>0</v>
      </c>
      <c r="AI14" s="114" t="s">
        <v>96</v>
      </c>
    </row>
    <row r="15" spans="1:35" ht="12.75" customHeight="1" x14ac:dyDescent="0.35">
      <c r="B15" s="55"/>
      <c r="C15" s="44" t="str">
        <f>IF(T$23&gt;7,12,"")</f>
        <v/>
      </c>
      <c r="D15" s="35"/>
      <c r="E15" s="35"/>
      <c r="F15" s="17"/>
      <c r="G15" s="26"/>
      <c r="H15" s="134"/>
      <c r="K15" s="29" t="str">
        <f>ROUND(AE13,1)&amp;"%"</f>
        <v>94.3%</v>
      </c>
      <c r="L15" s="15"/>
      <c r="M15" s="96"/>
      <c r="N15" s="133"/>
      <c r="O15" s="31"/>
      <c r="P15" s="31"/>
      <c r="Q15" s="98" t="str">
        <f>IF(T23&lt;6,"",ROUND(AE9,1)&amp;"%")</f>
        <v>94.3%</v>
      </c>
      <c r="R15" s="127"/>
      <c r="AG15" s="57">
        <v>0</v>
      </c>
      <c r="AH15" s="57">
        <f>COUNTIF(Engine!AL$1:AL$90,AG15)</f>
        <v>0</v>
      </c>
      <c r="AI15" s="114" t="s">
        <v>97</v>
      </c>
    </row>
    <row r="16" spans="1:35" ht="12.75" customHeight="1" x14ac:dyDescent="0.35">
      <c r="B16" s="55"/>
      <c r="C16" s="39">
        <f>IF(T$23=8,"",IF(T$23&gt;6,11,""))</f>
        <v>11</v>
      </c>
      <c r="D16" s="37"/>
      <c r="E16" s="35"/>
      <c r="F16" s="17"/>
      <c r="G16" s="26"/>
      <c r="H16" s="134"/>
      <c r="K16" s="27"/>
      <c r="L16" s="15"/>
      <c r="M16" s="96"/>
      <c r="N16" s="133"/>
      <c r="O16" s="30"/>
      <c r="P16" s="30"/>
      <c r="Q16" s="98"/>
      <c r="R16" s="127"/>
      <c r="AG16" s="57">
        <v>-1</v>
      </c>
      <c r="AH16" s="57">
        <f>COUNTIF(Engine!AL$1:AL$90,AG16)</f>
        <v>0</v>
      </c>
      <c r="AI16" s="114" t="s">
        <v>98</v>
      </c>
    </row>
    <row r="17" spans="1:36" x14ac:dyDescent="0.35">
      <c r="B17" s="55"/>
      <c r="C17" s="44" t="str">
        <f>IF(T$23=7,"",IF(T$23&gt;5,10,""))</f>
        <v/>
      </c>
      <c r="D17" s="35"/>
      <c r="E17" s="35"/>
      <c r="F17" s="17"/>
      <c r="G17" s="26"/>
      <c r="H17" s="134"/>
      <c r="K17" s="27"/>
      <c r="L17" s="15"/>
      <c r="M17" s="96"/>
      <c r="N17" s="133"/>
      <c r="Q17" s="98"/>
      <c r="R17" s="127"/>
      <c r="AG17" s="57">
        <v>-2</v>
      </c>
      <c r="AH17" s="57">
        <f>COUNTIF(Engine!AL$1:AL$90,AG17)</f>
        <v>0</v>
      </c>
      <c r="AI17" s="114" t="s">
        <v>99</v>
      </c>
    </row>
    <row r="18" spans="1:36" x14ac:dyDescent="0.35">
      <c r="B18" s="55"/>
      <c r="C18" s="39">
        <f>IF(T$23=6,"",IF(T$23&gt;4,9,""))</f>
        <v>9</v>
      </c>
      <c r="D18" s="37"/>
      <c r="E18" s="35"/>
      <c r="F18" s="17"/>
      <c r="G18" s="26"/>
      <c r="H18" s="134"/>
      <c r="K18" s="29" t="str">
        <f>ROUND(AF13,1)&amp;"%"</f>
        <v>5.7%</v>
      </c>
      <c r="L18" s="15"/>
      <c r="M18" s="96"/>
      <c r="N18" s="133"/>
      <c r="Q18" s="98" t="str">
        <f>IF(T23&lt;6,"",ROUND(AF9,1)&amp;"%")</f>
        <v>5.7%</v>
      </c>
      <c r="R18" s="127"/>
      <c r="AG18" s="57" t="s">
        <v>38</v>
      </c>
      <c r="AH18" s="57">
        <f>COUNTIF(Engine!AK1:AK90,2)</f>
        <v>52</v>
      </c>
    </row>
    <row r="19" spans="1:36" x14ac:dyDescent="0.35">
      <c r="B19" s="55"/>
      <c r="C19" s="44">
        <f>IF(T$23=5,"",IF(T$23&gt;3,8,""))</f>
        <v>8</v>
      </c>
      <c r="D19" s="35"/>
      <c r="E19" s="35"/>
      <c r="F19" s="17"/>
      <c r="G19" s="26"/>
      <c r="H19" s="134"/>
      <c r="K19" s="27"/>
      <c r="L19" s="15"/>
      <c r="M19" s="96"/>
      <c r="N19" s="133"/>
      <c r="Q19" s="98"/>
      <c r="R19" s="127"/>
      <c r="U19" s="57" t="s">
        <v>104</v>
      </c>
      <c r="V19" s="57">
        <f>30+T23</f>
        <v>37</v>
      </c>
      <c r="AG19" s="57" t="s">
        <v>39</v>
      </c>
      <c r="AH19" s="57">
        <f>V23-AH20-AH21</f>
        <v>53</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E31:E37</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Sat 5:30pm AEST</v>
      </c>
      <c r="H22" s="26"/>
      <c r="I22" s="26"/>
      <c r="J22" s="26"/>
      <c r="K22" s="27"/>
      <c r="L22" s="31"/>
      <c r="M22" s="96" t="str">
        <f>IF(T23=6,"",IF($AI$23=1,Data!Q9,""))</f>
        <v>Sun 6:15pm AEST</v>
      </c>
      <c r="N22" s="26"/>
      <c r="O22" s="26"/>
      <c r="P22" s="26"/>
      <c r="Q22" s="98"/>
      <c r="R22" s="127"/>
      <c r="T22" s="57" t="s">
        <v>43</v>
      </c>
      <c r="U22" s="57" t="s">
        <v>44</v>
      </c>
      <c r="V22" s="57">
        <f>Data!S6</f>
        <v>53</v>
      </c>
      <c r="W22" s="57" t="s">
        <v>45</v>
      </c>
      <c r="X22" s="57" t="s">
        <v>46</v>
      </c>
      <c r="Y22" s="57">
        <f>Data!R3</f>
        <v>16</v>
      </c>
    </row>
    <row r="23" spans="1:36" x14ac:dyDescent="0.35">
      <c r="B23" s="55"/>
      <c r="C23" s="41">
        <v>4</v>
      </c>
      <c r="D23" s="17"/>
      <c r="E23" s="17"/>
      <c r="F23" s="17"/>
      <c r="G23" s="26"/>
      <c r="H23" s="133"/>
      <c r="K23" s="27"/>
      <c r="L23" s="15"/>
      <c r="M23" s="96"/>
      <c r="N23" s="135"/>
      <c r="Q23" s="98"/>
      <c r="R23" s="127"/>
      <c r="T23" s="57">
        <f>Data!S3</f>
        <v>7</v>
      </c>
      <c r="U23" s="57" t="s">
        <v>47</v>
      </c>
      <c r="V23" s="57">
        <f>Data!S7</f>
        <v>53</v>
      </c>
      <c r="W23" s="57" t="s">
        <v>48</v>
      </c>
      <c r="AH23" s="57" t="s">
        <v>49</v>
      </c>
      <c r="AI23" s="121">
        <f>IF(E10=W23,2,1)</f>
        <v>1</v>
      </c>
    </row>
    <row r="24" spans="1:36" x14ac:dyDescent="0.35">
      <c r="B24" s="55"/>
      <c r="C24" s="43">
        <v>3</v>
      </c>
      <c r="D24" s="42"/>
      <c r="E24" s="17"/>
      <c r="F24" s="17"/>
      <c r="G24" s="26"/>
      <c r="H24" s="133"/>
      <c r="I24" s="31"/>
      <c r="J24" s="31"/>
      <c r="K24" s="29" t="str">
        <f>ROUND(AE12,1)&amp;"%"</f>
        <v>98.1%</v>
      </c>
      <c r="L24" s="15"/>
      <c r="M24" s="96"/>
      <c r="N24" s="135"/>
      <c r="O24" s="31"/>
      <c r="P24" s="31"/>
      <c r="Q24" s="98" t="str">
        <f>IF(T23&lt;7,"",ROUND(AE8,1)&amp;"%")</f>
        <v>50.9%</v>
      </c>
      <c r="R24" s="127"/>
      <c r="T24" s="57" t="str">
        <f>Data!$O3</f>
        <v>Wests Tigers</v>
      </c>
      <c r="U24" s="57" t="str">
        <f>Data!$O4</f>
        <v>Warriors</v>
      </c>
      <c r="V24" s="57" t="str">
        <f>Data!$O5</f>
        <v>Dolphins</v>
      </c>
      <c r="W24" s="57" t="str">
        <f>Data!$O6</f>
        <v>Rabbitohs</v>
      </c>
      <c r="X24" s="57" t="str">
        <f>Data!$O7</f>
        <v>Broncos</v>
      </c>
      <c r="Y24" s="57" t="str">
        <f>Data!$O8</f>
        <v>Roosters</v>
      </c>
      <c r="Z24" s="57" t="str">
        <f>Data!$O9</f>
        <v>Eels</v>
      </c>
      <c r="AA24" s="57" t="str">
        <f>Data!$O10</f>
        <v/>
      </c>
    </row>
    <row r="25" spans="1:36" x14ac:dyDescent="0.35">
      <c r="B25" s="55"/>
      <c r="C25" s="41">
        <v>2</v>
      </c>
      <c r="D25" s="17"/>
      <c r="E25" s="17"/>
      <c r="F25" s="17"/>
      <c r="G25" s="26"/>
      <c r="H25" s="133"/>
      <c r="I25" s="30"/>
      <c r="J25" s="30"/>
      <c r="K25" s="40"/>
      <c r="L25" s="15"/>
      <c r="M25" s="96"/>
      <c r="N25" s="135"/>
      <c r="O25" s="30"/>
      <c r="P25" s="30"/>
      <c r="Q25" s="98"/>
      <c r="R25" s="127"/>
      <c r="T25" s="57" t="str">
        <f>Data!$P3</f>
        <v>Raiders</v>
      </c>
      <c r="U25" s="57" t="str">
        <f>Data!$P4</f>
        <v>Panthers</v>
      </c>
      <c r="V25" s="57" t="str">
        <f>Data!$P5</f>
        <v>Knights</v>
      </c>
      <c r="W25" s="57" t="str">
        <f>Data!$P6</f>
        <v>Storm</v>
      </c>
      <c r="X25" s="57" t="str">
        <f>Data!$P7</f>
        <v>Sharks</v>
      </c>
      <c r="Y25" s="57" t="str">
        <f>Data!$P8</f>
        <v>Cowboys</v>
      </c>
      <c r="Z25" s="57" t="str">
        <f>Data!$P9</f>
        <v>Titans</v>
      </c>
      <c r="AA25" s="57" t="str">
        <f>Data!$P10</f>
        <v/>
      </c>
    </row>
    <row r="26" spans="1:36" x14ac:dyDescent="0.35">
      <c r="B26" s="55"/>
      <c r="C26" s="39">
        <v>1</v>
      </c>
      <c r="D26" s="37"/>
      <c r="E26" s="35"/>
      <c r="F26" s="17"/>
      <c r="G26" s="26"/>
      <c r="H26" s="134"/>
      <c r="K26" s="27"/>
      <c r="L26" s="15"/>
      <c r="M26" s="96"/>
      <c r="N26" s="133"/>
      <c r="Q26" s="98"/>
      <c r="R26" s="127"/>
      <c r="T26" s="57" t="str">
        <f>Data!Q3</f>
        <v>Fri 8:00pm AEST</v>
      </c>
      <c r="U26" s="57" t="str">
        <f>Data!Q4</f>
        <v>Sat 3:00pm AEST</v>
      </c>
      <c r="V26" s="57" t="str">
        <f>Data!Q5</f>
        <v>Sat 5:30pm AEST</v>
      </c>
      <c r="W26" s="57" t="str">
        <f>Data!Q6</f>
        <v>Sat 7:35pm AEST</v>
      </c>
      <c r="X26" s="57" t="str">
        <f>Data!Q7</f>
        <v>Sun 2:00pm AEST</v>
      </c>
      <c r="Y26" s="57" t="str">
        <f>Data!Q8</f>
        <v>Sun 4:05pm AEST</v>
      </c>
      <c r="Z26" s="57" t="str">
        <f>Data!Q9</f>
        <v>Sun 6:15pm AEST</v>
      </c>
      <c r="AA26" s="57" t="str">
        <f>Data!Q10</f>
        <v xml:space="preserve">  AEST</v>
      </c>
    </row>
    <row r="27" spans="1:36" x14ac:dyDescent="0.35">
      <c r="B27" s="55"/>
      <c r="C27" s="36">
        <v>0</v>
      </c>
      <c r="D27" s="35"/>
      <c r="E27" s="35"/>
      <c r="F27" s="17"/>
      <c r="G27" s="26"/>
      <c r="H27" s="134"/>
      <c r="K27" s="29" t="str">
        <f>ROUND(AF12,1)&amp;"%"</f>
        <v>1.9%</v>
      </c>
      <c r="L27" s="15"/>
      <c r="M27" s="96"/>
      <c r="N27" s="133"/>
      <c r="Q27" s="98" t="str">
        <f>IF(T23&lt;7,"",ROUND(AF8,1)&amp;"%")</f>
        <v>49.1%</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4"/>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129</v>
      </c>
      <c r="F31" s="17"/>
      <c r="G31" s="32" t="str">
        <f>IF($AI$23=1,Data!Q6,"")</f>
        <v>Sat 7:35pm AEST</v>
      </c>
      <c r="H31" s="26"/>
      <c r="I31" s="26"/>
      <c r="J31" s="26"/>
      <c r="K31" s="27"/>
      <c r="L31" s="15"/>
      <c r="M31" s="96" t="str">
        <f>IF(T23=6,"",IF($AI$23=1,Data!Q10,""))</f>
        <v xml:space="preserve">  AEST</v>
      </c>
      <c r="N31" s="26"/>
      <c r="O31" s="26"/>
      <c r="P31" s="26"/>
      <c r="Q31" s="97"/>
      <c r="R31" s="127"/>
    </row>
    <row r="32" spans="1:36" x14ac:dyDescent="0.35">
      <c r="A32" s="53"/>
      <c r="B32" s="55">
        <v>2</v>
      </c>
      <c r="C32" s="131" t="s">
        <v>55</v>
      </c>
      <c r="D32" s="132"/>
      <c r="E32" s="28"/>
      <c r="F32" s="17"/>
      <c r="G32" s="26"/>
      <c r="H32" s="133"/>
      <c r="K32" s="27"/>
      <c r="L32" s="15"/>
      <c r="M32" s="97"/>
      <c r="N32" s="136"/>
      <c r="Q32" s="97"/>
      <c r="R32" s="127"/>
    </row>
    <row r="33" spans="1:253" x14ac:dyDescent="0.35">
      <c r="A33" s="53"/>
      <c r="B33" s="55">
        <v>3</v>
      </c>
      <c r="C33" s="131" t="s">
        <v>56</v>
      </c>
      <c r="D33" s="132"/>
      <c r="E33" s="28"/>
      <c r="F33" s="17"/>
      <c r="G33" s="26"/>
      <c r="H33" s="133"/>
      <c r="K33" s="29" t="str">
        <f>ROUND(AE11,1)&amp;"%"</f>
        <v>5.7%</v>
      </c>
      <c r="L33" s="15"/>
      <c r="M33" s="97"/>
      <c r="N33" s="136"/>
      <c r="O33" s="31"/>
      <c r="P33" s="31"/>
      <c r="Q33" s="101" t="str">
        <f>IF(T23&lt;8,"",ROUND(AE7,1)&amp;"%")</f>
        <v/>
      </c>
      <c r="R33" s="127"/>
    </row>
    <row r="34" spans="1:253" x14ac:dyDescent="0.35">
      <c r="A34" s="53"/>
      <c r="B34" s="55">
        <v>4</v>
      </c>
      <c r="C34" s="131" t="s">
        <v>57</v>
      </c>
      <c r="D34" s="132"/>
      <c r="E34" s="28"/>
      <c r="F34" s="17"/>
      <c r="G34" s="26"/>
      <c r="H34" s="133"/>
      <c r="K34" s="27"/>
      <c r="M34" s="97"/>
      <c r="N34" s="136"/>
      <c r="O34" s="30"/>
      <c r="P34" s="30"/>
      <c r="Q34" s="97"/>
      <c r="R34" s="127"/>
    </row>
    <row r="35" spans="1:253" x14ac:dyDescent="0.35">
      <c r="A35" s="53"/>
      <c r="B35" s="55">
        <v>5</v>
      </c>
      <c r="C35" s="131" t="str">
        <f>IF(T23&lt;5,"","Select Winner - Game 5:")</f>
        <v>Select Winner - Game 5:</v>
      </c>
      <c r="D35" s="131"/>
      <c r="E35" s="28"/>
      <c r="F35" s="17"/>
      <c r="G35" s="26"/>
      <c r="H35" s="133"/>
      <c r="K35" s="27"/>
      <c r="M35" s="97"/>
      <c r="N35" s="134"/>
      <c r="Q35" s="97"/>
      <c r="R35" s="4"/>
    </row>
    <row r="36" spans="1:253" x14ac:dyDescent="0.35">
      <c r="A36" s="53"/>
      <c r="B36" s="55">
        <v>6</v>
      </c>
      <c r="C36" s="131" t="str">
        <f>IF(T23&lt;6,"","Select Winner - Game 6:")</f>
        <v>Select Winner - Game 6:</v>
      </c>
      <c r="D36" s="131"/>
      <c r="E36" s="28"/>
      <c r="F36" s="17"/>
      <c r="G36" s="26"/>
      <c r="H36" s="133"/>
      <c r="K36" s="29" t="str">
        <f>ROUND(AF11,1)&amp;"%"</f>
        <v>94.3%</v>
      </c>
      <c r="M36" s="97"/>
      <c r="N36" s="134"/>
      <c r="Q36" s="101" t="str">
        <f>IF(T23&lt;8,"",ROUND(AF7,1)&amp;"%")</f>
        <v/>
      </c>
      <c r="R36" s="127"/>
    </row>
    <row r="37" spans="1:253" x14ac:dyDescent="0.35">
      <c r="A37" s="53"/>
      <c r="B37" s="55">
        <v>7</v>
      </c>
      <c r="C37" s="131" t="str">
        <f>IF(T23&lt;7,"","Select Winner - Game 7:")</f>
        <v>Select Winner - Game 7:</v>
      </c>
      <c r="D37" s="131"/>
      <c r="E37" s="28"/>
      <c r="F37" s="17"/>
      <c r="G37" s="26"/>
      <c r="H37" s="133"/>
      <c r="K37" s="27"/>
      <c r="M37" s="97"/>
      <c r="N37" s="134"/>
      <c r="Q37" s="97"/>
      <c r="R37" s="127"/>
    </row>
    <row r="38" spans="1:253" x14ac:dyDescent="0.35">
      <c r="A38" s="53"/>
      <c r="B38" s="55">
        <v>8</v>
      </c>
      <c r="C38" s="131" t="str">
        <f>IF(T23&lt;8,"","Select Winner - Game 8:")</f>
        <v/>
      </c>
      <c r="D38" s="131"/>
      <c r="E38" s="149"/>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Wests Tigers</v>
      </c>
      <c r="D43" s="20" t="str">
        <f t="shared" ref="D43:F43" si="3">U24</f>
        <v>Warriors</v>
      </c>
      <c r="E43" s="20" t="str">
        <f t="shared" si="3"/>
        <v>Dolphins</v>
      </c>
      <c r="F43" s="20" t="str">
        <f t="shared" si="3"/>
        <v>Rabbitohs</v>
      </c>
      <c r="G43" s="20" t="str">
        <f>IF($T$23&gt;4,X24,"")</f>
        <v>Broncos</v>
      </c>
      <c r="H43" s="20" t="str">
        <f>IF($T$23&gt;5,Y24,"")</f>
        <v>Roosters</v>
      </c>
      <c r="I43" s="20" t="str">
        <f>IF($T$23&gt;6,Z24,"")</f>
        <v>Eels</v>
      </c>
      <c r="J43" s="20" t="str">
        <f>IF($T$23&gt;7,AA24,"")</f>
        <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Raiders</v>
      </c>
      <c r="D44" s="20" t="str">
        <f t="shared" si="4"/>
        <v>Panthers</v>
      </c>
      <c r="E44" s="20" t="str">
        <f t="shared" si="4"/>
        <v>Knights</v>
      </c>
      <c r="F44" s="20" t="str">
        <f t="shared" si="4"/>
        <v>Storm</v>
      </c>
      <c r="G44" s="20" t="str">
        <f t="shared" ref="G44" si="5">IF($T$23&gt;4,X25,"")</f>
        <v>Sharks</v>
      </c>
      <c r="H44" s="20" t="str">
        <f t="shared" ref="H44" si="6">IF($T$23&gt;5,Y25,"")</f>
        <v>Cowboys</v>
      </c>
      <c r="I44" s="20" t="str">
        <f t="shared" ref="I44" si="7">IF($T$23&gt;6,Z25,"")</f>
        <v>Titans</v>
      </c>
      <c r="J44" s="20" t="str">
        <f t="shared" ref="J44" si="8">IF($T$23&gt;7,AA25,"")</f>
        <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mXDG4ctEu8onitprEyE0oYxR4n9QlzAdHs6OY78vNBTK8nM2H3PRAq7K4bnHI8DSav9eMRfJSpqzSCnFr6WP8Q==" saltValue="KFE4GmLlYFbl+cKQBQa+og=="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sheetPr codeName="Sheet2"/>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7</v>
      </c>
    </row>
    <row r="4" spans="1:28" ht="15" thickBot="1" x14ac:dyDescent="0.4">
      <c r="A4" s="58">
        <v>1</v>
      </c>
      <c r="B4" s="2" t="str">
        <f>Data!O3</f>
        <v>Wests Tigers</v>
      </c>
      <c r="C4" s="73">
        <v>12</v>
      </c>
      <c r="D4" s="73">
        <v>16</v>
      </c>
      <c r="E4" s="2" t="str">
        <f>Data!P3</f>
        <v>Raiders</v>
      </c>
      <c r="G4" s="145"/>
      <c r="H4" s="146"/>
      <c r="I4" s="146"/>
      <c r="J4" s="147"/>
      <c r="L4" s="64" t="str">
        <f>IF(P13="","",VLOOKUP($P13,$P13:$AB13,3,FALSE))</f>
        <v/>
      </c>
      <c r="M4" s="84" t="str">
        <f>IF(P13="","",VLOOKUP($P13,$P13:$AB13,4,FALSE))</f>
        <v/>
      </c>
      <c r="N4" s="64" t="str">
        <f>IF(P13="","",VLOOKUP($P13,$P13:$AB13,5,FALSE))</f>
        <v/>
      </c>
      <c r="P4" s="81" t="str">
        <f t="shared" ref="P4:P11" si="0">IF(D4="","",IF(C4&gt;D4,B4,E4))</f>
        <v>Raiders</v>
      </c>
      <c r="Q4" s="81" t="str">
        <f t="shared" ref="Q4:Q11" si="1">IF($D4="","",IF($C4&lt;$D4,$B4,$E4))</f>
        <v>Wests Tigers</v>
      </c>
      <c r="R4" s="91" t="s">
        <v>15</v>
      </c>
      <c r="S4" s="17" t="s">
        <v>104</v>
      </c>
      <c r="T4" s="81">
        <f>3+T3</f>
        <v>10</v>
      </c>
    </row>
    <row r="5" spans="1:28" x14ac:dyDescent="0.35">
      <c r="A5" s="58">
        <v>2</v>
      </c>
      <c r="B5" s="2" t="str">
        <f>Data!O4</f>
        <v>Warriors</v>
      </c>
      <c r="C5" s="73"/>
      <c r="D5" s="73"/>
      <c r="E5" s="2" t="str">
        <f>Data!P4</f>
        <v>Panthers</v>
      </c>
      <c r="G5" s="79"/>
      <c r="H5" s="79"/>
      <c r="I5" s="79"/>
      <c r="J5" s="79"/>
      <c r="K5" s="78"/>
      <c r="L5" s="83"/>
      <c r="M5" s="85"/>
      <c r="N5" s="79"/>
      <c r="P5" s="81" t="str">
        <f t="shared" si="0"/>
        <v/>
      </c>
      <c r="Q5" s="81" t="str">
        <f t="shared" si="1"/>
        <v/>
      </c>
      <c r="R5" s="91" t="s">
        <v>16</v>
      </c>
      <c r="S5" s="17" t="s">
        <v>103</v>
      </c>
      <c r="T5" s="81" t="str">
        <f>"C4:D"&amp;T4</f>
        <v>C4:D10</v>
      </c>
    </row>
    <row r="6" spans="1:28" x14ac:dyDescent="0.35">
      <c r="A6" s="58">
        <v>3</v>
      </c>
      <c r="B6" s="2" t="str">
        <f>Data!O5</f>
        <v>Dolphins</v>
      </c>
      <c r="C6" s="73"/>
      <c r="D6" s="73"/>
      <c r="E6" s="2" t="str">
        <f>Data!P5</f>
        <v>Knights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Rabbitohs</v>
      </c>
      <c r="C7" s="73"/>
      <c r="D7" s="73"/>
      <c r="E7" s="2" t="str">
        <f>Data!P6</f>
        <v>Storm</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Broncos</v>
      </c>
      <c r="C8" s="73"/>
      <c r="D8" s="73"/>
      <c r="E8" s="2" t="str">
        <f>IF(Data!S$3&lt;'Live Ladder'!$A8,"",Data!P7)</f>
        <v>Sharks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Roosters</v>
      </c>
      <c r="C9" s="73"/>
      <c r="D9" s="73"/>
      <c r="E9" s="2" t="str">
        <f>IF(Data!S$3&lt;'Live Ladder'!$A9,"",Data!P8)</f>
        <v>Cowboys</v>
      </c>
      <c r="G9" s="87"/>
      <c r="H9" s="88"/>
      <c r="I9" s="74"/>
      <c r="J9" s="74"/>
      <c r="K9" s="75"/>
      <c r="L9" s="75"/>
      <c r="M9" s="74"/>
      <c r="N9" s="74"/>
      <c r="P9" s="81" t="str">
        <f t="shared" ref="P9" si="2">IF(D9="","",IF(C9&gt;D9,B9,E9))</f>
        <v/>
      </c>
      <c r="Q9" s="81" t="str">
        <f t="shared" si="1"/>
        <v/>
      </c>
    </row>
    <row r="10" spans="1:28" x14ac:dyDescent="0.35">
      <c r="A10" s="58">
        <v>7</v>
      </c>
      <c r="B10" s="2" t="str">
        <f>IF(Data!S$3&lt;'Live Ladder'!$A10,"",Data!O9)</f>
        <v>Eels</v>
      </c>
      <c r="C10" s="73"/>
      <c r="D10" s="73"/>
      <c r="E10" s="2" t="str">
        <f>IF(Data!S$3&lt;'Live Ladder'!$A10,"",Data!P9)</f>
        <v>Titans</v>
      </c>
      <c r="J10" s="60" t="str">
        <f>IF(J8="No Tips","Tips not submitted","")</f>
        <v/>
      </c>
      <c r="P10" s="81" t="str">
        <f t="shared" si="0"/>
        <v/>
      </c>
      <c r="Q10" s="81" t="str">
        <f t="shared" si="1"/>
        <v/>
      </c>
    </row>
    <row r="11" spans="1:28" x14ac:dyDescent="0.35">
      <c r="A11" s="58">
        <v>8</v>
      </c>
      <c r="B11" s="2" t="str">
        <f>IF(Data!S$3&lt;'Live Ladder'!$A11,"",Data!O10)</f>
        <v/>
      </c>
      <c r="C11" s="150"/>
      <c r="D11" s="150"/>
      <c r="E11" s="2" t="str">
        <f>IF(Data!S$3&lt;'Live Ladder'!$A11,"",Data!P10)</f>
        <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Rossco the Pom</v>
      </c>
      <c r="F15" s="71"/>
      <c r="G15" s="8">
        <f>L15-VLOOKUP($A15,Engine!$D:$S,15,FALSE)</f>
        <v>1</v>
      </c>
      <c r="H15" s="8">
        <f>N15-VLOOKUP($A15,Engine!$D:$S,16,FALSE)</f>
        <v>16</v>
      </c>
      <c r="I15" s="9"/>
      <c r="J15" s="8" t="str">
        <f>IF(VLOOKUP(E15,Engine!H:Q,10,FALSE)=0,"",VLOOKUP(E15,Engine!H:Q,10,FALSE))</f>
        <v>Dolphins</v>
      </c>
      <c r="K15" s="72" t="str">
        <f t="shared" ref="K15:K46" si="3">IF(COUNTIF(P$4:P$11,J15)=1,R$6,IF(COUNTIF(Q$4:Q$11,J15)=1,R$7,""))</f>
        <v/>
      </c>
      <c r="L15" s="7">
        <f>VLOOKUP($A15,Engine!$D:$Z,22,FALSE)</f>
        <v>88</v>
      </c>
      <c r="M15" s="71"/>
      <c r="N15" s="7">
        <f>VLOOKUP($A15,Engine!$D:$Z,23,FALSE)</f>
        <v>2842</v>
      </c>
      <c r="O15" s="89"/>
    </row>
    <row r="16" spans="1:28" x14ac:dyDescent="0.35">
      <c r="A16" s="68">
        <f>A15+1</f>
        <v>2</v>
      </c>
      <c r="B16" s="7">
        <f t="shared" ref="B16:B46" si="4">A16</f>
        <v>2</v>
      </c>
      <c r="C16" s="69" t="str">
        <f>VLOOKUP($A16,Engine!$D:$H,2,FALSE)</f>
        <v>u</v>
      </c>
      <c r="D16" s="70" t="str">
        <f>VLOOKUP($A16,Engine!$D:$H,3,FALSE)</f>
        <v/>
      </c>
      <c r="E16" s="7" t="str">
        <f>VLOOKUP($A16,Engine!$D:$H,5,FALSE)</f>
        <v>Wiley C</v>
      </c>
      <c r="F16" s="71"/>
      <c r="G16" s="8">
        <f>L16-VLOOKUP($A16,Engine!$D:$S,15,FALSE)</f>
        <v>1</v>
      </c>
      <c r="H16" s="8">
        <f>N16-VLOOKUP($A16,Engine!$D:$S,16,FALSE)</f>
        <v>16</v>
      </c>
      <c r="I16" s="9"/>
      <c r="J16" s="8" t="str">
        <f>IF(VLOOKUP(E16,Engine!H:Q,10,FALSE)=0,"",VLOOKUP(E16,Engine!H:Q,10,FALSE))</f>
        <v>Dolphins</v>
      </c>
      <c r="K16" s="72" t="str">
        <f t="shared" si="3"/>
        <v/>
      </c>
      <c r="L16" s="7">
        <f>VLOOKUP($A16,Engine!$D:$Z,22,FALSE)</f>
        <v>86</v>
      </c>
      <c r="M16" s="71"/>
      <c r="N16" s="7">
        <f>VLOOKUP($A16,Engine!$D:$Z,23,FALSE)</f>
        <v>2818</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Craig Young's Love Child</v>
      </c>
      <c r="F17" s="71"/>
      <c r="G17" s="8">
        <f>L17-VLOOKUP($A17,Engine!$D:$S,15,FALSE)</f>
        <v>1</v>
      </c>
      <c r="H17" s="8">
        <f>N17-VLOOKUP($A17,Engine!$D:$S,16,FALSE)</f>
        <v>16</v>
      </c>
      <c r="I17" s="9"/>
      <c r="J17" s="8" t="str">
        <f>IF(VLOOKUP(E17,Engine!H:Q,10,FALSE)=0,"",VLOOKUP(E17,Engine!H:Q,10,FALSE))</f>
        <v>Dolphins</v>
      </c>
      <c r="K17" s="72" t="str">
        <f t="shared" si="3"/>
        <v/>
      </c>
      <c r="L17" s="7">
        <f>VLOOKUP($A17,Engine!$D:$Z,22,FALSE)</f>
        <v>86</v>
      </c>
      <c r="M17" s="71"/>
      <c r="N17" s="7">
        <f>VLOOKUP($A17,Engine!$D:$Z,23,FALSE)</f>
        <v>2817</v>
      </c>
      <c r="O17" s="89"/>
    </row>
    <row r="18" spans="1:15" s="61" customFormat="1" x14ac:dyDescent="0.35">
      <c r="A18" s="68">
        <f t="shared" si="5"/>
        <v>4</v>
      </c>
      <c r="B18" s="7">
        <f t="shared" si="4"/>
        <v>4</v>
      </c>
      <c r="C18" s="69" t="str">
        <f>VLOOKUP($A18,Engine!$D:$H,2,FALSE)</f>
        <v>p</v>
      </c>
      <c r="D18" s="70">
        <f>VLOOKUP($A18,Engine!$D:$H,3,FALSE)</f>
        <v>1</v>
      </c>
      <c r="E18" s="7" t="str">
        <f>VLOOKUP($A18,Engine!$D:$H,5,FALSE)</f>
        <v>gdadisho</v>
      </c>
      <c r="F18" s="71"/>
      <c r="G18" s="8">
        <f>L18-VLOOKUP($A18,Engine!$D:$S,15,FALSE)</f>
        <v>3</v>
      </c>
      <c r="H18" s="8">
        <f>N18-VLOOKUP($A18,Engine!$D:$S,16,FALSE)</f>
        <v>16</v>
      </c>
      <c r="I18" s="9"/>
      <c r="J18" s="8" t="str">
        <f>IF(VLOOKUP(E18,Engine!H:Q,10,FALSE)=0,"",VLOOKUP(E18,Engine!H:Q,10,FALSE))</f>
        <v>Raiders</v>
      </c>
      <c r="K18" s="72" t="str">
        <f t="shared" si="3"/>
        <v>ü</v>
      </c>
      <c r="L18" s="7">
        <f>VLOOKUP($A18,Engine!$D:$Z,22,FALSE)</f>
        <v>85</v>
      </c>
      <c r="M18" s="71"/>
      <c r="N18" s="7">
        <f>VLOOKUP($A18,Engine!$D:$Z,23,FALSE)</f>
        <v>2823</v>
      </c>
      <c r="O18" s="89"/>
    </row>
    <row r="19" spans="1:15" s="61" customFormat="1" x14ac:dyDescent="0.35">
      <c r="A19" s="68">
        <f t="shared" si="5"/>
        <v>5</v>
      </c>
      <c r="B19" s="7">
        <f t="shared" si="4"/>
        <v>5</v>
      </c>
      <c r="C19" s="69" t="str">
        <f>VLOOKUP($A19,Engine!$D:$H,2,FALSE)</f>
        <v>q</v>
      </c>
      <c r="D19" s="70">
        <f>VLOOKUP($A19,Engine!$D:$H,3,FALSE)</f>
        <v>1</v>
      </c>
      <c r="E19" s="7" t="str">
        <f>VLOOKUP($A19,Engine!$D:$H,5,FALSE)</f>
        <v>Seano</v>
      </c>
      <c r="F19" s="71"/>
      <c r="G19" s="8">
        <f>L19-VLOOKUP($A19,Engine!$D:$S,15,FALSE)</f>
        <v>1</v>
      </c>
      <c r="H19" s="8">
        <f>N19-VLOOKUP($A19,Engine!$D:$S,16,FALSE)</f>
        <v>16</v>
      </c>
      <c r="I19" s="9"/>
      <c r="J19" s="8" t="str">
        <f>IF(VLOOKUP(E19,Engine!H:Q,10,FALSE)=0,"",VLOOKUP(E19,Engine!H:Q,10,FALSE))</f>
        <v>Warriors</v>
      </c>
      <c r="K19" s="72" t="str">
        <f t="shared" si="3"/>
        <v/>
      </c>
      <c r="L19" s="7">
        <f>VLOOKUP($A19,Engine!$D:$Z,22,FALSE)</f>
        <v>83</v>
      </c>
      <c r="M19" s="71"/>
      <c r="N19" s="7">
        <f>VLOOKUP($A19,Engine!$D:$Z,23,FALSE)</f>
        <v>2834</v>
      </c>
      <c r="O19" s="76"/>
    </row>
    <row r="20" spans="1:15" s="61" customFormat="1" x14ac:dyDescent="0.35">
      <c r="A20" s="68">
        <f t="shared" si="5"/>
        <v>6</v>
      </c>
      <c r="B20" s="7">
        <f t="shared" si="4"/>
        <v>6</v>
      </c>
      <c r="C20" s="69" t="str">
        <f>VLOOKUP($A20,Engine!$D:$H,2,FALSE)</f>
        <v>u</v>
      </c>
      <c r="D20" s="70" t="str">
        <f>VLOOKUP($A20,Engine!$D:$H,3,FALSE)</f>
        <v/>
      </c>
      <c r="E20" s="7" t="str">
        <f>VLOOKUP($A20,Engine!$D:$H,5,FALSE)</f>
        <v>UpthePamfers</v>
      </c>
      <c r="F20" s="71"/>
      <c r="G20" s="8">
        <f>L20-VLOOKUP($A20,Engine!$D:$S,15,FALSE)</f>
        <v>1</v>
      </c>
      <c r="H20" s="8">
        <f>N20-VLOOKUP($A20,Engine!$D:$S,16,FALSE)</f>
        <v>16</v>
      </c>
      <c r="I20" s="9"/>
      <c r="J20" s="8" t="str">
        <f>IF(VLOOKUP(E20,Engine!H:Q,10,FALSE)=0,"",VLOOKUP(E20,Engine!H:Q,10,FALSE))</f>
        <v>Dolphins</v>
      </c>
      <c r="K20" s="72" t="str">
        <f t="shared" si="3"/>
        <v/>
      </c>
      <c r="L20" s="7">
        <f>VLOOKUP($A20,Engine!$D:$Z,22,FALSE)</f>
        <v>79</v>
      </c>
      <c r="M20" s="71"/>
      <c r="N20" s="7">
        <f>VLOOKUP($A20,Engine!$D:$Z,23,FALSE)</f>
        <v>2931</v>
      </c>
      <c r="O20" s="76"/>
    </row>
    <row r="21" spans="1:15" s="61" customFormat="1" x14ac:dyDescent="0.35">
      <c r="A21" s="68">
        <f t="shared" si="5"/>
        <v>7</v>
      </c>
      <c r="B21" s="7">
        <f t="shared" si="4"/>
        <v>7</v>
      </c>
      <c r="C21" s="69" t="str">
        <f>VLOOKUP($A21,Engine!$D:$H,2,FALSE)</f>
        <v>p</v>
      </c>
      <c r="D21" s="70">
        <f>VLOOKUP($A21,Engine!$D:$H,3,FALSE)</f>
        <v>3</v>
      </c>
      <c r="E21" s="7" t="str">
        <f>VLOOKUP($A21,Engine!$D:$H,5,FALSE)</f>
        <v>Magnum</v>
      </c>
      <c r="F21" s="71"/>
      <c r="G21" s="8">
        <f>L21-VLOOKUP($A21,Engine!$D:$S,15,FALSE)</f>
        <v>3</v>
      </c>
      <c r="H21" s="8">
        <f>N21-VLOOKUP($A21,Engine!$D:$S,16,FALSE)</f>
        <v>16</v>
      </c>
      <c r="I21" s="9"/>
      <c r="J21" s="8" t="str">
        <f>IF(VLOOKUP(E21,Engine!H:Q,10,FALSE)=0,"",VLOOKUP(E21,Engine!H:Q,10,FALSE))</f>
        <v>Raiders</v>
      </c>
      <c r="K21" s="72" t="str">
        <f t="shared" si="3"/>
        <v>ü</v>
      </c>
      <c r="L21" s="7">
        <f>VLOOKUP($A21,Engine!$D:$Z,22,FALSE)</f>
        <v>79</v>
      </c>
      <c r="M21" s="71"/>
      <c r="N21" s="7">
        <f>VLOOKUP($A21,Engine!$D:$Z,23,FALSE)</f>
        <v>2837</v>
      </c>
      <c r="O21" s="76"/>
    </row>
    <row r="22" spans="1:15" s="61" customFormat="1" x14ac:dyDescent="0.35">
      <c r="A22" s="68">
        <f t="shared" si="5"/>
        <v>8</v>
      </c>
      <c r="B22" s="7">
        <f t="shared" si="4"/>
        <v>8</v>
      </c>
      <c r="C22" s="69" t="str">
        <f>VLOOKUP($A22,Engine!$D:$H,2,FALSE)</f>
        <v>q</v>
      </c>
      <c r="D22" s="70">
        <f>VLOOKUP($A22,Engine!$D:$H,3,FALSE)</f>
        <v>1</v>
      </c>
      <c r="E22" s="7" t="str">
        <f>VLOOKUP($A22,Engine!$D:$H,5,FALSE)</f>
        <v>murch</v>
      </c>
      <c r="F22" s="71"/>
      <c r="G22" s="8">
        <f>L22-VLOOKUP($A22,Engine!$D:$S,15,FALSE)</f>
        <v>1</v>
      </c>
      <c r="H22" s="8">
        <f>N22-VLOOKUP($A22,Engine!$D:$S,16,FALSE)</f>
        <v>16</v>
      </c>
      <c r="I22" s="9"/>
      <c r="J22" s="8" t="str">
        <f>IF(VLOOKUP(E22,Engine!H:Q,10,FALSE)=0,"",VLOOKUP(E22,Engine!H:Q,10,FALSE))</f>
        <v>Warriors</v>
      </c>
      <c r="K22" s="72" t="str">
        <f t="shared" si="3"/>
        <v/>
      </c>
      <c r="L22" s="7">
        <f>VLOOKUP($A22,Engine!$D:$Z,22,FALSE)</f>
        <v>79</v>
      </c>
      <c r="M22" s="71"/>
      <c r="N22" s="7">
        <f>VLOOKUP($A22,Engine!$D:$Z,23,FALSE)</f>
        <v>2814</v>
      </c>
      <c r="O22" s="76"/>
    </row>
    <row r="23" spans="1:15" s="61" customFormat="1" x14ac:dyDescent="0.35">
      <c r="A23" s="68">
        <f t="shared" si="5"/>
        <v>9</v>
      </c>
      <c r="B23" s="7">
        <f t="shared" si="4"/>
        <v>9</v>
      </c>
      <c r="C23" s="69" t="str">
        <f>VLOOKUP($A23,Engine!$D:$H,2,FALSE)</f>
        <v>q</v>
      </c>
      <c r="D23" s="70">
        <f>VLOOKUP($A23,Engine!$D:$H,3,FALSE)</f>
        <v>1</v>
      </c>
      <c r="E23" s="7" t="str">
        <f>VLOOKUP($A23,Engine!$D:$H,5,FALSE)</f>
        <v>Ad</v>
      </c>
      <c r="F23" s="71"/>
      <c r="G23" s="8">
        <f>L23-VLOOKUP($A23,Engine!$D:$S,15,FALSE)</f>
        <v>1</v>
      </c>
      <c r="H23" s="8">
        <f>N23-VLOOKUP($A23,Engine!$D:$S,16,FALSE)</f>
        <v>16</v>
      </c>
      <c r="I23" s="9"/>
      <c r="J23" s="8" t="str">
        <f>IF(VLOOKUP(E23,Engine!H:Q,10,FALSE)=0,"",VLOOKUP(E23,Engine!H:Q,10,FALSE))</f>
        <v>Warriors</v>
      </c>
      <c r="K23" s="72" t="str">
        <f t="shared" si="3"/>
        <v/>
      </c>
      <c r="L23" s="7">
        <f>VLOOKUP($A23,Engine!$D:$Z,22,FALSE)</f>
        <v>79</v>
      </c>
      <c r="M23" s="71"/>
      <c r="N23" s="7">
        <f>VLOOKUP($A23,Engine!$D:$Z,23,FALSE)</f>
        <v>2783</v>
      </c>
      <c r="O23" s="76"/>
    </row>
    <row r="24" spans="1:15" s="61" customFormat="1" x14ac:dyDescent="0.35">
      <c r="A24" s="68">
        <f t="shared" si="5"/>
        <v>10</v>
      </c>
      <c r="B24" s="7">
        <f t="shared" si="4"/>
        <v>10</v>
      </c>
      <c r="C24" s="69" t="str">
        <f>VLOOKUP($A24,Engine!$D:$H,2,FALSE)</f>
        <v>p</v>
      </c>
      <c r="D24" s="70">
        <f>VLOOKUP($A24,Engine!$D:$H,3,FALSE)</f>
        <v>1</v>
      </c>
      <c r="E24" s="7" t="str">
        <f>VLOOKUP($A24,Engine!$D:$H,5,FALSE)</f>
        <v>Micrider</v>
      </c>
      <c r="F24" s="71"/>
      <c r="G24" s="8">
        <f>L24-VLOOKUP($A24,Engine!$D:$S,15,FALSE)</f>
        <v>3</v>
      </c>
      <c r="H24" s="8">
        <f>N24-VLOOKUP($A24,Engine!$D:$S,16,FALSE)</f>
        <v>16</v>
      </c>
      <c r="I24" s="9"/>
      <c r="J24" s="8" t="str">
        <f>IF(VLOOKUP(E24,Engine!H:Q,10,FALSE)=0,"",VLOOKUP(E24,Engine!H:Q,10,FALSE))</f>
        <v>Raiders</v>
      </c>
      <c r="K24" s="72" t="str">
        <f t="shared" si="3"/>
        <v>ü</v>
      </c>
      <c r="L24" s="7">
        <f>VLOOKUP($A24,Engine!$D:$Z,22,FALSE)</f>
        <v>79</v>
      </c>
      <c r="M24" s="71"/>
      <c r="N24" s="7">
        <f>VLOOKUP($A24,Engine!$D:$Z,23,FALSE)</f>
        <v>2760</v>
      </c>
      <c r="O24" s="76"/>
    </row>
    <row r="25" spans="1:15" s="61" customFormat="1" x14ac:dyDescent="0.35">
      <c r="A25" s="68">
        <f t="shared" si="5"/>
        <v>11</v>
      </c>
      <c r="B25" s="7">
        <f t="shared" si="4"/>
        <v>11</v>
      </c>
      <c r="C25" s="69" t="str">
        <f>VLOOKUP($A25,Engine!$D:$H,2,FALSE)</f>
        <v>p</v>
      </c>
      <c r="D25" s="70">
        <f>VLOOKUP($A25,Engine!$D:$H,3,FALSE)</f>
        <v>1</v>
      </c>
      <c r="E25" s="7" t="str">
        <f>VLOOKUP($A25,Engine!$D:$H,5,FALSE)</f>
        <v>Panthers29</v>
      </c>
      <c r="F25" s="71"/>
      <c r="G25" s="8">
        <f>L25-VLOOKUP($A25,Engine!$D:$S,15,FALSE)</f>
        <v>3</v>
      </c>
      <c r="H25" s="8">
        <f>N25-VLOOKUP($A25,Engine!$D:$S,16,FALSE)</f>
        <v>16</v>
      </c>
      <c r="I25" s="9"/>
      <c r="J25" s="8" t="str">
        <f>IF(VLOOKUP(E25,Engine!H:Q,10,FALSE)=0,"",VLOOKUP(E25,Engine!H:Q,10,FALSE))</f>
        <v>Raiders</v>
      </c>
      <c r="K25" s="72" t="str">
        <f t="shared" si="3"/>
        <v>ü</v>
      </c>
      <c r="L25" s="7">
        <f>VLOOKUP($A25,Engine!$D:$Z,22,FALSE)</f>
        <v>78</v>
      </c>
      <c r="M25" s="71"/>
      <c r="N25" s="7">
        <f>VLOOKUP($A25,Engine!$D:$Z,23,FALSE)</f>
        <v>2889</v>
      </c>
      <c r="O25" s="76"/>
    </row>
    <row r="26" spans="1:15" s="61" customFormat="1" x14ac:dyDescent="0.35">
      <c r="A26" s="68">
        <f t="shared" si="5"/>
        <v>12</v>
      </c>
      <c r="B26" s="7">
        <f t="shared" si="4"/>
        <v>12</v>
      </c>
      <c r="C26" s="69" t="str">
        <f>VLOOKUP($A26,Engine!$D:$H,2,FALSE)</f>
        <v>q</v>
      </c>
      <c r="D26" s="70">
        <f>VLOOKUP($A26,Engine!$D:$H,3,FALSE)</f>
        <v>3</v>
      </c>
      <c r="E26" s="7" t="str">
        <f>VLOOKUP($A26,Engine!$D:$H,5,FALSE)</f>
        <v>Big Moose</v>
      </c>
      <c r="F26" s="71"/>
      <c r="G26" s="8">
        <f>L26-VLOOKUP($A26,Engine!$D:$S,15,FALSE)</f>
        <v>1</v>
      </c>
      <c r="H26" s="8">
        <f>N26-VLOOKUP($A26,Engine!$D:$S,16,FALSE)</f>
        <v>16</v>
      </c>
      <c r="I26" s="9"/>
      <c r="J26" s="8" t="str">
        <f>IF(VLOOKUP(E26,Engine!H:Q,10,FALSE)=0,"",VLOOKUP(E26,Engine!H:Q,10,FALSE))</f>
        <v>Warriors</v>
      </c>
      <c r="K26" s="72" t="str">
        <f t="shared" si="3"/>
        <v/>
      </c>
      <c r="L26" s="7">
        <f>VLOOKUP($A26,Engine!$D:$Z,22,FALSE)</f>
        <v>78</v>
      </c>
      <c r="M26" s="71"/>
      <c r="N26" s="7">
        <f>VLOOKUP($A26,Engine!$D:$Z,23,FALSE)</f>
        <v>2851</v>
      </c>
      <c r="O26" s="76"/>
    </row>
    <row r="27" spans="1:15" s="61" customFormat="1" x14ac:dyDescent="0.35">
      <c r="A27" s="68">
        <f t="shared" si="5"/>
        <v>13</v>
      </c>
      <c r="B27" s="7">
        <f t="shared" si="4"/>
        <v>13</v>
      </c>
      <c r="C27" s="69" t="str">
        <f>VLOOKUP($A27,Engine!$D:$H,2,FALSE)</f>
        <v>u</v>
      </c>
      <c r="D27" s="70" t="str">
        <f>VLOOKUP($A27,Engine!$D:$H,3,FALSE)</f>
        <v/>
      </c>
      <c r="E27" s="7" t="str">
        <f>VLOOKUP($A27,Engine!$D:$H,5,FALSE)</f>
        <v>Cruella</v>
      </c>
      <c r="F27" s="71"/>
      <c r="G27" s="8">
        <f>L27-VLOOKUP($A27,Engine!$D:$S,15,FALSE)</f>
        <v>3</v>
      </c>
      <c r="H27" s="8">
        <f>N27-VLOOKUP($A27,Engine!$D:$S,16,FALSE)</f>
        <v>16</v>
      </c>
      <c r="I27" s="9"/>
      <c r="J27" s="8" t="str">
        <f>IF(VLOOKUP(E27,Engine!H:Q,10,FALSE)=0,"",VLOOKUP(E27,Engine!H:Q,10,FALSE))</f>
        <v>Raiders</v>
      </c>
      <c r="K27" s="72" t="str">
        <f t="shared" si="3"/>
        <v>ü</v>
      </c>
      <c r="L27" s="7">
        <f>VLOOKUP($A27,Engine!$D:$Z,22,FALSE)</f>
        <v>78</v>
      </c>
      <c r="M27" s="71"/>
      <c r="N27" s="7">
        <f>VLOOKUP($A27,Engine!$D:$Z,23,FALSE)</f>
        <v>2753</v>
      </c>
      <c r="O27" s="76"/>
    </row>
    <row r="28" spans="1:15" s="61" customFormat="1" x14ac:dyDescent="0.35">
      <c r="A28" s="68">
        <f t="shared" si="5"/>
        <v>14</v>
      </c>
      <c r="B28" s="7">
        <f t="shared" si="4"/>
        <v>14</v>
      </c>
      <c r="C28" s="69" t="str">
        <f>VLOOKUP($A28,Engine!$D:$H,2,FALSE)</f>
        <v>u</v>
      </c>
      <c r="D28" s="70" t="str">
        <f>VLOOKUP($A28,Engine!$D:$H,3,FALSE)</f>
        <v/>
      </c>
      <c r="E28" s="7" t="str">
        <f>VLOOKUP($A28,Engine!$D:$H,5,FALSE)</f>
        <v>Runner</v>
      </c>
      <c r="F28" s="71"/>
      <c r="G28" s="8">
        <f>L28-VLOOKUP($A28,Engine!$D:$S,15,FALSE)</f>
        <v>3</v>
      </c>
      <c r="H28" s="8">
        <f>N28-VLOOKUP($A28,Engine!$D:$S,16,FALSE)</f>
        <v>16</v>
      </c>
      <c r="I28" s="9"/>
      <c r="J28" s="8" t="str">
        <f>IF(VLOOKUP(E28,Engine!H:Q,10,FALSE)=0,"",VLOOKUP(E28,Engine!H:Q,10,FALSE))</f>
        <v>Raiders</v>
      </c>
      <c r="K28" s="72" t="str">
        <f t="shared" si="3"/>
        <v>ü</v>
      </c>
      <c r="L28" s="7">
        <f>VLOOKUP($A28,Engine!$D:$Z,22,FALSE)</f>
        <v>77</v>
      </c>
      <c r="M28" s="71"/>
      <c r="N28" s="7">
        <f>VLOOKUP($A28,Engine!$D:$Z,23,FALSE)</f>
        <v>2893</v>
      </c>
      <c r="O28" s="76"/>
    </row>
    <row r="29" spans="1:15" s="61" customFormat="1" x14ac:dyDescent="0.35">
      <c r="A29" s="68">
        <f t="shared" si="5"/>
        <v>15</v>
      </c>
      <c r="B29" s="7">
        <f t="shared" si="4"/>
        <v>15</v>
      </c>
      <c r="C29" s="69" t="str">
        <f>VLOOKUP($A29,Engine!$D:$H,2,FALSE)</f>
        <v>u</v>
      </c>
      <c r="D29" s="70" t="str">
        <f>VLOOKUP($A29,Engine!$D:$H,3,FALSE)</f>
        <v/>
      </c>
      <c r="E29" s="7" t="str">
        <f>VLOOKUP($A29,Engine!$D:$H,5,FALSE)</f>
        <v>Bridie</v>
      </c>
      <c r="F29" s="71"/>
      <c r="G29" s="8">
        <f>L29-VLOOKUP($A29,Engine!$D:$S,15,FALSE)</f>
        <v>3</v>
      </c>
      <c r="H29" s="8">
        <f>N29-VLOOKUP($A29,Engine!$D:$S,16,FALSE)</f>
        <v>16</v>
      </c>
      <c r="I29" s="9"/>
      <c r="J29" s="8" t="str">
        <f>IF(VLOOKUP(E29,Engine!H:Q,10,FALSE)=0,"",VLOOKUP(E29,Engine!H:Q,10,FALSE))</f>
        <v>Raiders</v>
      </c>
      <c r="K29" s="72" t="str">
        <f t="shared" si="3"/>
        <v>ü</v>
      </c>
      <c r="L29" s="7">
        <f>VLOOKUP($A29,Engine!$D:$Z,22,FALSE)</f>
        <v>77</v>
      </c>
      <c r="M29" s="71"/>
      <c r="N29" s="7">
        <f>VLOOKUP($A29,Engine!$D:$Z,23,FALSE)</f>
        <v>2779</v>
      </c>
      <c r="O29" s="76"/>
    </row>
    <row r="30" spans="1:15" s="61" customFormat="1" x14ac:dyDescent="0.35">
      <c r="A30" s="68">
        <f t="shared" si="5"/>
        <v>16</v>
      </c>
      <c r="B30" s="7">
        <f t="shared" si="4"/>
        <v>16</v>
      </c>
      <c r="C30" s="69" t="str">
        <f>VLOOKUP($A30,Engine!$D:$H,2,FALSE)</f>
        <v>p</v>
      </c>
      <c r="D30" s="70">
        <f>VLOOKUP($A30,Engine!$D:$H,3,FALSE)</f>
        <v>1</v>
      </c>
      <c r="E30" s="7" t="str">
        <f>VLOOKUP($A30,Engine!$D:$H,5,FALSE)</f>
        <v>Guru2810</v>
      </c>
      <c r="F30" s="71"/>
      <c r="G30" s="8">
        <f>L30-VLOOKUP($A30,Engine!$D:$S,15,FALSE)</f>
        <v>3</v>
      </c>
      <c r="H30" s="8">
        <f>N30-VLOOKUP($A30,Engine!$D:$S,16,FALSE)</f>
        <v>16</v>
      </c>
      <c r="I30" s="9"/>
      <c r="J30" s="8" t="str">
        <f>IF(VLOOKUP(E30,Engine!H:Q,10,FALSE)=0,"",VLOOKUP(E30,Engine!H:Q,10,FALSE))</f>
        <v>Raiders</v>
      </c>
      <c r="K30" s="72" t="str">
        <f t="shared" si="3"/>
        <v>ü</v>
      </c>
      <c r="L30" s="7">
        <f>VLOOKUP($A30,Engine!$D:$Z,22,FALSE)</f>
        <v>76</v>
      </c>
      <c r="M30" s="71"/>
      <c r="N30" s="7">
        <f>VLOOKUP($A30,Engine!$D:$Z,23,FALSE)</f>
        <v>2814</v>
      </c>
      <c r="O30" s="76"/>
    </row>
    <row r="31" spans="1:15" s="61" customFormat="1" x14ac:dyDescent="0.35">
      <c r="A31" s="68">
        <f t="shared" si="5"/>
        <v>17</v>
      </c>
      <c r="B31" s="7">
        <f t="shared" si="4"/>
        <v>17</v>
      </c>
      <c r="C31" s="69" t="str">
        <f>VLOOKUP($A31,Engine!$D:$H,2,FALSE)</f>
        <v>p</v>
      </c>
      <c r="D31" s="70">
        <f>VLOOKUP($A31,Engine!$D:$H,3,FALSE)</f>
        <v>2</v>
      </c>
      <c r="E31" s="7" t="str">
        <f>VLOOKUP($A31,Engine!$D:$H,5,FALSE)</f>
        <v>The Creator</v>
      </c>
      <c r="F31" s="71"/>
      <c r="G31" s="8">
        <f>L31-VLOOKUP($A31,Engine!$D:$S,15,FALSE)</f>
        <v>3</v>
      </c>
      <c r="H31" s="8">
        <f>N31-VLOOKUP($A31,Engine!$D:$S,16,FALSE)</f>
        <v>16</v>
      </c>
      <c r="I31" s="9"/>
      <c r="J31" s="8" t="str">
        <f>IF(VLOOKUP(E31,Engine!H:Q,10,FALSE)=0,"",VLOOKUP(E31,Engine!H:Q,10,FALSE))</f>
        <v>Raiders</v>
      </c>
      <c r="K31" s="72" t="str">
        <f t="shared" si="3"/>
        <v>ü</v>
      </c>
      <c r="L31" s="7">
        <f>VLOOKUP($A31,Engine!$D:$Z,22,FALSE)</f>
        <v>76</v>
      </c>
      <c r="M31" s="71"/>
      <c r="N31" s="7">
        <f>VLOOKUP($A31,Engine!$D:$Z,23,FALSE)</f>
        <v>2802</v>
      </c>
      <c r="O31" s="76"/>
    </row>
    <row r="32" spans="1:15" s="61" customFormat="1" x14ac:dyDescent="0.35">
      <c r="A32" s="68">
        <f t="shared" si="5"/>
        <v>18</v>
      </c>
      <c r="B32" s="7">
        <f t="shared" si="4"/>
        <v>18</v>
      </c>
      <c r="C32" s="69" t="str">
        <f>VLOOKUP($A32,Engine!$D:$H,2,FALSE)</f>
        <v>p</v>
      </c>
      <c r="D32" s="70">
        <f>VLOOKUP($A32,Engine!$D:$H,3,FALSE)</f>
        <v>2</v>
      </c>
      <c r="E32" s="7" t="str">
        <f>VLOOKUP($A32,Engine!$D:$H,5,FALSE)</f>
        <v>Budgie</v>
      </c>
      <c r="F32" s="71"/>
      <c r="G32" s="8">
        <f>L32-VLOOKUP($A32,Engine!$D:$S,15,FALSE)</f>
        <v>3</v>
      </c>
      <c r="H32" s="8">
        <f>N32-VLOOKUP($A32,Engine!$D:$S,16,FALSE)</f>
        <v>16</v>
      </c>
      <c r="I32" s="9"/>
      <c r="J32" s="8" t="str">
        <f>IF(VLOOKUP(E32,Engine!H:Q,10,FALSE)=0,"",VLOOKUP(E32,Engine!H:Q,10,FALSE))</f>
        <v>Raiders</v>
      </c>
      <c r="K32" s="72" t="str">
        <f t="shared" si="3"/>
        <v>ü</v>
      </c>
      <c r="L32" s="7">
        <f>VLOOKUP($A32,Engine!$D:$Z,22,FALSE)</f>
        <v>75</v>
      </c>
      <c r="M32" s="71"/>
      <c r="N32" s="7">
        <f>VLOOKUP($A32,Engine!$D:$Z,23,FALSE)</f>
        <v>2818</v>
      </c>
      <c r="O32" s="76"/>
    </row>
    <row r="33" spans="1:15" s="61" customFormat="1" x14ac:dyDescent="0.35">
      <c r="A33" s="68">
        <f t="shared" si="5"/>
        <v>19</v>
      </c>
      <c r="B33" s="7">
        <f t="shared" si="4"/>
        <v>19</v>
      </c>
      <c r="C33" s="69" t="str">
        <f>VLOOKUP($A33,Engine!$D:$H,2,FALSE)</f>
        <v>p</v>
      </c>
      <c r="D33" s="70">
        <f>VLOOKUP($A33,Engine!$D:$H,3,FALSE)</f>
        <v>2</v>
      </c>
      <c r="E33" s="7" t="str">
        <f>VLOOKUP($A33,Engine!$D:$H,5,FALSE)</f>
        <v>Pablo</v>
      </c>
      <c r="F33" s="71"/>
      <c r="G33" s="8">
        <f>L33-VLOOKUP($A33,Engine!$D:$S,15,FALSE)</f>
        <v>3</v>
      </c>
      <c r="H33" s="8">
        <f>N33-VLOOKUP($A33,Engine!$D:$S,16,FALSE)</f>
        <v>16</v>
      </c>
      <c r="I33" s="9"/>
      <c r="J33" s="8" t="str">
        <f>IF(VLOOKUP(E33,Engine!H:Q,10,FALSE)=0,"",VLOOKUP(E33,Engine!H:Q,10,FALSE))</f>
        <v>Raiders</v>
      </c>
      <c r="K33" s="72" t="str">
        <f t="shared" si="3"/>
        <v>ü</v>
      </c>
      <c r="L33" s="7">
        <f>VLOOKUP($A33,Engine!$D:$Z,22,FALSE)</f>
        <v>75</v>
      </c>
      <c r="M33" s="71"/>
      <c r="N33" s="7">
        <f>VLOOKUP($A33,Engine!$D:$Z,23,FALSE)</f>
        <v>2817</v>
      </c>
      <c r="O33" s="76"/>
    </row>
    <row r="34" spans="1:15" s="61" customFormat="1" x14ac:dyDescent="0.35">
      <c r="A34" s="68">
        <f t="shared" si="5"/>
        <v>20</v>
      </c>
      <c r="B34" s="7">
        <f t="shared" si="4"/>
        <v>20</v>
      </c>
      <c r="C34" s="69" t="str">
        <f>VLOOKUP($A34,Engine!$D:$H,2,FALSE)</f>
        <v>q</v>
      </c>
      <c r="D34" s="70">
        <f>VLOOKUP($A34,Engine!$D:$H,3,FALSE)</f>
        <v>4</v>
      </c>
      <c r="E34" s="7" t="str">
        <f>VLOOKUP($A34,Engine!$D:$H,5,FALSE)</f>
        <v>Tripod</v>
      </c>
      <c r="F34" s="71"/>
      <c r="G34" s="8">
        <f>L34-VLOOKUP($A34,Engine!$D:$S,15,FALSE)</f>
        <v>1</v>
      </c>
      <c r="H34" s="8">
        <f>N34-VLOOKUP($A34,Engine!$D:$S,16,FALSE)</f>
        <v>16</v>
      </c>
      <c r="I34" s="9"/>
      <c r="J34" s="8" t="str">
        <f>IF(VLOOKUP(E34,Engine!H:Q,10,FALSE)=0,"",VLOOKUP(E34,Engine!H:Q,10,FALSE))</f>
        <v>Dolphins</v>
      </c>
      <c r="K34" s="72" t="str">
        <f t="shared" si="3"/>
        <v/>
      </c>
      <c r="L34" s="7">
        <f>VLOOKUP($A34,Engine!$D:$Z,22,FALSE)</f>
        <v>75</v>
      </c>
      <c r="M34" s="71"/>
      <c r="N34" s="7">
        <f>VLOOKUP($A34,Engine!$D:$Z,23,FALSE)</f>
        <v>2767</v>
      </c>
      <c r="O34" s="76"/>
    </row>
    <row r="35" spans="1:15" s="61" customFormat="1" x14ac:dyDescent="0.35">
      <c r="A35" s="68">
        <f t="shared" si="5"/>
        <v>21</v>
      </c>
      <c r="B35" s="7">
        <f t="shared" si="4"/>
        <v>21</v>
      </c>
      <c r="C35" s="69" t="str">
        <f>VLOOKUP($A35,Engine!$D:$H,2,FALSE)</f>
        <v>p</v>
      </c>
      <c r="D35" s="70">
        <f>VLOOKUP($A35,Engine!$D:$H,3,FALSE)</f>
        <v>3</v>
      </c>
      <c r="E35" s="7" t="str">
        <f>VLOOKUP($A35,Engine!$D:$H,5,FALSE)</f>
        <v>MB</v>
      </c>
      <c r="F35" s="71"/>
      <c r="G35" s="8">
        <f>L35-VLOOKUP($A35,Engine!$D:$S,15,FALSE)</f>
        <v>3</v>
      </c>
      <c r="H35" s="8">
        <f>N35-VLOOKUP($A35,Engine!$D:$S,16,FALSE)</f>
        <v>16</v>
      </c>
      <c r="I35" s="9"/>
      <c r="J35" s="8" t="str">
        <f>IF(VLOOKUP(E35,Engine!H:Q,10,FALSE)=0,"",VLOOKUP(E35,Engine!H:Q,10,FALSE))</f>
        <v>Raiders</v>
      </c>
      <c r="K35" s="72" t="str">
        <f t="shared" si="3"/>
        <v>ü</v>
      </c>
      <c r="L35" s="7">
        <f>VLOOKUP($A35,Engine!$D:$Z,22,FALSE)</f>
        <v>74</v>
      </c>
      <c r="M35" s="71"/>
      <c r="N35" s="7">
        <f>VLOOKUP($A35,Engine!$D:$Z,23,FALSE)</f>
        <v>2914</v>
      </c>
      <c r="O35" s="76"/>
    </row>
    <row r="36" spans="1:15" s="61" customFormat="1" x14ac:dyDescent="0.35">
      <c r="A36" s="68">
        <f t="shared" si="5"/>
        <v>22</v>
      </c>
      <c r="B36" s="7">
        <f t="shared" si="4"/>
        <v>22</v>
      </c>
      <c r="C36" s="69" t="str">
        <f>VLOOKUP($A36,Engine!$D:$H,2,FALSE)</f>
        <v>p</v>
      </c>
      <c r="D36" s="70">
        <f>VLOOKUP($A36,Engine!$D:$H,3,FALSE)</f>
        <v>3</v>
      </c>
      <c r="E36" s="7" t="str">
        <f>VLOOKUP($A36,Engine!$D:$H,5,FALSE)</f>
        <v>Bart Simpson</v>
      </c>
      <c r="F36" s="71"/>
      <c r="G36" s="8">
        <f>L36-VLOOKUP($A36,Engine!$D:$S,15,FALSE)</f>
        <v>3</v>
      </c>
      <c r="H36" s="8">
        <f>N36-VLOOKUP($A36,Engine!$D:$S,16,FALSE)</f>
        <v>16</v>
      </c>
      <c r="I36" s="9"/>
      <c r="J36" s="8" t="str">
        <f>IF(VLOOKUP(E36,Engine!H:Q,10,FALSE)=0,"",VLOOKUP(E36,Engine!H:Q,10,FALSE))</f>
        <v>Raiders</v>
      </c>
      <c r="K36" s="72" t="str">
        <f t="shared" si="3"/>
        <v>ü</v>
      </c>
      <c r="L36" s="7">
        <f>VLOOKUP($A36,Engine!$D:$Z,22,FALSE)</f>
        <v>74</v>
      </c>
      <c r="M36" s="71"/>
      <c r="N36" s="7">
        <f>VLOOKUP($A36,Engine!$D:$Z,23,FALSE)</f>
        <v>2851</v>
      </c>
      <c r="O36" s="76"/>
    </row>
    <row r="37" spans="1:15" s="61" customFormat="1" x14ac:dyDescent="0.35">
      <c r="A37" s="68">
        <f t="shared" si="5"/>
        <v>23</v>
      </c>
      <c r="B37" s="7">
        <f t="shared" si="4"/>
        <v>23</v>
      </c>
      <c r="C37" s="69" t="str">
        <f>VLOOKUP($A37,Engine!$D:$H,2,FALSE)</f>
        <v>q</v>
      </c>
      <c r="D37" s="70">
        <f>VLOOKUP($A37,Engine!$D:$H,3,FALSE)</f>
        <v>5</v>
      </c>
      <c r="E37" s="7" t="str">
        <f>VLOOKUP($A37,Engine!$D:$H,5,FALSE)</f>
        <v>Neville</v>
      </c>
      <c r="F37" s="71"/>
      <c r="G37" s="8">
        <f>L37-VLOOKUP($A37,Engine!$D:$S,15,FALSE)</f>
        <v>1</v>
      </c>
      <c r="H37" s="8">
        <f>N37-VLOOKUP($A37,Engine!$D:$S,16,FALSE)</f>
        <v>16</v>
      </c>
      <c r="I37" s="9"/>
      <c r="J37" s="8" t="str">
        <f>IF(VLOOKUP(E37,Engine!H:Q,10,FALSE)=0,"",VLOOKUP(E37,Engine!H:Q,10,FALSE))</f>
        <v>Storm</v>
      </c>
      <c r="K37" s="72" t="str">
        <f t="shared" si="3"/>
        <v/>
      </c>
      <c r="L37" s="7">
        <f>VLOOKUP($A37,Engine!$D:$Z,22,FALSE)</f>
        <v>74</v>
      </c>
      <c r="M37" s="71"/>
      <c r="N37" s="7">
        <f>VLOOKUP($A37,Engine!$D:$Z,23,FALSE)</f>
        <v>2811</v>
      </c>
      <c r="O37" s="76"/>
    </row>
    <row r="38" spans="1:15" s="61" customFormat="1" x14ac:dyDescent="0.35">
      <c r="A38" s="68">
        <f t="shared" si="5"/>
        <v>24</v>
      </c>
      <c r="B38" s="7">
        <f t="shared" si="4"/>
        <v>24</v>
      </c>
      <c r="C38" s="69" t="str">
        <f>VLOOKUP($A38,Engine!$D:$H,2,FALSE)</f>
        <v>q</v>
      </c>
      <c r="D38" s="70">
        <f>VLOOKUP($A38,Engine!$D:$H,3,FALSE)</f>
        <v>2</v>
      </c>
      <c r="E38" s="7" t="str">
        <f>VLOOKUP($A38,Engine!$D:$H,5,FALSE)</f>
        <v>TheZipZipMan</v>
      </c>
      <c r="F38" s="71"/>
      <c r="G38" s="8">
        <f>L38-VLOOKUP($A38,Engine!$D:$S,15,FALSE)</f>
        <v>1</v>
      </c>
      <c r="H38" s="8">
        <f>N38-VLOOKUP($A38,Engine!$D:$S,16,FALSE)</f>
        <v>16</v>
      </c>
      <c r="I38" s="9"/>
      <c r="J38" s="8" t="str">
        <f>IF(VLOOKUP(E38,Engine!H:Q,10,FALSE)=0,"",VLOOKUP(E38,Engine!H:Q,10,FALSE))</f>
        <v>Warriors</v>
      </c>
      <c r="K38" s="72" t="str">
        <f t="shared" si="3"/>
        <v/>
      </c>
      <c r="L38" s="7">
        <f>VLOOKUP($A38,Engine!$D:$Z,22,FALSE)</f>
        <v>73</v>
      </c>
      <c r="M38" s="71"/>
      <c r="N38" s="7">
        <f>VLOOKUP($A38,Engine!$D:$Z,23,FALSE)</f>
        <v>2797</v>
      </c>
      <c r="O38" s="76"/>
    </row>
    <row r="39" spans="1:15" s="61" customFormat="1" x14ac:dyDescent="0.35">
      <c r="A39" s="68">
        <f t="shared" si="5"/>
        <v>25</v>
      </c>
      <c r="B39" s="7">
        <f t="shared" si="4"/>
        <v>25</v>
      </c>
      <c r="C39" s="69" t="str">
        <f>VLOOKUP($A39,Engine!$D:$H,2,FALSE)</f>
        <v>q</v>
      </c>
      <c r="D39" s="70">
        <f>VLOOKUP($A39,Engine!$D:$H,3,FALSE)</f>
        <v>2</v>
      </c>
      <c r="E39" s="7" t="str">
        <f>VLOOKUP($A39,Engine!$D:$H,5,FALSE)</f>
        <v>9986</v>
      </c>
      <c r="F39" s="71"/>
      <c r="G39" s="8">
        <f>L39-VLOOKUP($A39,Engine!$D:$S,15,FALSE)</f>
        <v>1</v>
      </c>
      <c r="H39" s="8">
        <f>N39-VLOOKUP($A39,Engine!$D:$S,16,FALSE)</f>
        <v>16</v>
      </c>
      <c r="I39" s="9"/>
      <c r="J39" s="8" t="str">
        <f>IF(VLOOKUP(E39,Engine!H:Q,10,FALSE)=0,"",VLOOKUP(E39,Engine!H:Q,10,FALSE))</f>
        <v>Dolphins</v>
      </c>
      <c r="K39" s="72" t="str">
        <f t="shared" si="3"/>
        <v/>
      </c>
      <c r="L39" s="7">
        <f>VLOOKUP($A39,Engine!$D:$Z,22,FALSE)</f>
        <v>73</v>
      </c>
      <c r="M39" s="71"/>
      <c r="N39" s="7">
        <f>VLOOKUP($A39,Engine!$D:$Z,23,FALSE)</f>
        <v>2747</v>
      </c>
      <c r="O39" s="76"/>
    </row>
    <row r="40" spans="1:15" s="61" customFormat="1" x14ac:dyDescent="0.35">
      <c r="A40" s="68">
        <f t="shared" si="5"/>
        <v>26</v>
      </c>
      <c r="B40" s="7">
        <f t="shared" si="4"/>
        <v>26</v>
      </c>
      <c r="C40" s="69" t="str">
        <f>VLOOKUP($A40,Engine!$D:$H,2,FALSE)</f>
        <v>p</v>
      </c>
      <c r="D40" s="70">
        <f>VLOOKUP($A40,Engine!$D:$H,3,FALSE)</f>
        <v>4</v>
      </c>
      <c r="E40" s="7" t="str">
        <f>VLOOKUP($A40,Engine!$D:$H,5,FALSE)</f>
        <v>Carlos</v>
      </c>
      <c r="F40" s="71"/>
      <c r="G40" s="8">
        <f>L40-VLOOKUP($A40,Engine!$D:$S,15,FALSE)</f>
        <v>3</v>
      </c>
      <c r="H40" s="8">
        <f>N40-VLOOKUP($A40,Engine!$D:$S,16,FALSE)</f>
        <v>16</v>
      </c>
      <c r="I40" s="9"/>
      <c r="J40" s="8" t="str">
        <f>IF(VLOOKUP(E40,Engine!H:Q,10,FALSE)=0,"",VLOOKUP(E40,Engine!H:Q,10,FALSE))</f>
        <v>Raiders</v>
      </c>
      <c r="K40" s="72" t="str">
        <f t="shared" si="3"/>
        <v>ü</v>
      </c>
      <c r="L40" s="7">
        <f>VLOOKUP($A40,Engine!$D:$Z,22,FALSE)</f>
        <v>72</v>
      </c>
      <c r="M40" s="71"/>
      <c r="N40" s="7">
        <f>VLOOKUP($A40,Engine!$D:$Z,23,FALSE)</f>
        <v>2811</v>
      </c>
      <c r="O40" s="76"/>
    </row>
    <row r="41" spans="1:15" s="61" customFormat="1" x14ac:dyDescent="0.35">
      <c r="A41" s="68">
        <f t="shared" si="5"/>
        <v>27</v>
      </c>
      <c r="B41" s="7">
        <f t="shared" si="4"/>
        <v>27</v>
      </c>
      <c r="C41" s="69" t="str">
        <f>VLOOKUP($A41,Engine!$D:$H,2,FALSE)</f>
        <v>q</v>
      </c>
      <c r="D41" s="70">
        <f>VLOOKUP($A41,Engine!$D:$H,3,FALSE)</f>
        <v>1</v>
      </c>
      <c r="E41" s="7" t="str">
        <f>VLOOKUP($A41,Engine!$D:$H,5,FALSE)</f>
        <v>Lou</v>
      </c>
      <c r="F41" s="71"/>
      <c r="G41" s="8">
        <f>L41-VLOOKUP($A41,Engine!$D:$S,15,FALSE)</f>
        <v>1</v>
      </c>
      <c r="H41" s="8">
        <f>N41-VLOOKUP($A41,Engine!$D:$S,16,FALSE)</f>
        <v>16</v>
      </c>
      <c r="I41" s="9"/>
      <c r="J41" s="8" t="str">
        <f>IF(VLOOKUP(E41,Engine!H:Q,10,FALSE)=0,"",VLOOKUP(E41,Engine!H:Q,10,FALSE))</f>
        <v>Dolphins</v>
      </c>
      <c r="K41" s="72" t="str">
        <f t="shared" si="3"/>
        <v/>
      </c>
      <c r="L41" s="7">
        <f>VLOOKUP($A41,Engine!$D:$Z,22,FALSE)</f>
        <v>72</v>
      </c>
      <c r="M41" s="71"/>
      <c r="N41" s="7">
        <f>VLOOKUP($A41,Engine!$D:$Z,23,FALSE)</f>
        <v>2757</v>
      </c>
      <c r="O41" s="76"/>
    </row>
    <row r="42" spans="1:15" s="61" customFormat="1" x14ac:dyDescent="0.35">
      <c r="A42" s="68">
        <f t="shared" si="5"/>
        <v>28</v>
      </c>
      <c r="B42" s="7">
        <f t="shared" si="4"/>
        <v>28</v>
      </c>
      <c r="C42" s="69" t="str">
        <f>VLOOKUP($A42,Engine!$D:$H,2,FALSE)</f>
        <v>q</v>
      </c>
      <c r="D42" s="70">
        <f>VLOOKUP($A42,Engine!$D:$H,3,FALSE)</f>
        <v>1</v>
      </c>
      <c r="E42" s="7" t="str">
        <f>VLOOKUP($A42,Engine!$D:$H,5,FALSE)</f>
        <v>Robert Cook</v>
      </c>
      <c r="F42" s="71"/>
      <c r="G42" s="8">
        <f>L42-VLOOKUP($A42,Engine!$D:$S,15,FALSE)</f>
        <v>1</v>
      </c>
      <c r="H42" s="8">
        <f>N42-VLOOKUP($A42,Engine!$D:$S,16,FALSE)</f>
        <v>16</v>
      </c>
      <c r="I42" s="9"/>
      <c r="J42" s="8" t="str">
        <f>IF(VLOOKUP(E42,Engine!H:Q,10,FALSE)=0,"",VLOOKUP(E42,Engine!H:Q,10,FALSE))</f>
        <v>Dolphins</v>
      </c>
      <c r="K42" s="72" t="str">
        <f t="shared" si="3"/>
        <v/>
      </c>
      <c r="L42" s="7">
        <f>VLOOKUP($A42,Engine!$D:$Z,22,FALSE)</f>
        <v>71</v>
      </c>
      <c r="M42" s="71"/>
      <c r="N42" s="7">
        <f>VLOOKUP($A42,Engine!$D:$Z,23,FALSE)</f>
        <v>2812</v>
      </c>
      <c r="O42" s="76"/>
    </row>
    <row r="43" spans="1:15" s="61" customFormat="1" x14ac:dyDescent="0.35">
      <c r="A43" s="68">
        <f t="shared" si="5"/>
        <v>29</v>
      </c>
      <c r="B43" s="7">
        <f t="shared" si="4"/>
        <v>29</v>
      </c>
      <c r="C43" s="69" t="str">
        <f>VLOOKUP($A43,Engine!$D:$H,2,FALSE)</f>
        <v>q</v>
      </c>
      <c r="D43" s="70">
        <f>VLOOKUP($A43,Engine!$D:$H,3,FALSE)</f>
        <v>1</v>
      </c>
      <c r="E43" s="7" t="str">
        <f>VLOOKUP($A43,Engine!$D:$H,5,FALSE)</f>
        <v>SMOG</v>
      </c>
      <c r="F43" s="71"/>
      <c r="G43" s="8">
        <f>L43-VLOOKUP($A43,Engine!$D:$S,15,FALSE)</f>
        <v>1</v>
      </c>
      <c r="H43" s="8">
        <f>N43-VLOOKUP($A43,Engine!$D:$S,16,FALSE)</f>
        <v>16</v>
      </c>
      <c r="I43" s="9"/>
      <c r="J43" s="8" t="str">
        <f>IF(VLOOKUP(E43,Engine!H:Q,10,FALSE)=0,"",VLOOKUP(E43,Engine!H:Q,10,FALSE))</f>
        <v>Warriors</v>
      </c>
      <c r="K43" s="72" t="str">
        <f t="shared" si="3"/>
        <v/>
      </c>
      <c r="L43" s="7">
        <f>VLOOKUP($A43,Engine!$D:$Z,22,FALSE)</f>
        <v>71</v>
      </c>
      <c r="M43" s="71"/>
      <c r="N43" s="7">
        <f>VLOOKUP($A43,Engine!$D:$Z,23,FALSE)</f>
        <v>2735</v>
      </c>
      <c r="O43" s="76"/>
    </row>
    <row r="44" spans="1:15" s="61" customFormat="1" x14ac:dyDescent="0.35">
      <c r="A44" s="68">
        <f t="shared" si="5"/>
        <v>30</v>
      </c>
      <c r="B44" s="7">
        <f t="shared" si="4"/>
        <v>30</v>
      </c>
      <c r="C44" s="69" t="str">
        <f>VLOOKUP($A44,Engine!$D:$H,2,FALSE)</f>
        <v>p</v>
      </c>
      <c r="D44" s="70">
        <f>VLOOKUP($A44,Engine!$D:$H,3,FALSE)</f>
        <v>2</v>
      </c>
      <c r="E44" s="7" t="str">
        <f>VLOOKUP($A44,Engine!$D:$H,5,FALSE)</f>
        <v>Fouad Khochaiche</v>
      </c>
      <c r="F44" s="71"/>
      <c r="G44" s="8">
        <f>L44-VLOOKUP($A44,Engine!$D:$S,15,FALSE)</f>
        <v>3</v>
      </c>
      <c r="H44" s="8">
        <f>N44-VLOOKUP($A44,Engine!$D:$S,16,FALSE)</f>
        <v>16</v>
      </c>
      <c r="I44" s="9"/>
      <c r="J44" s="8" t="str">
        <f>IF(VLOOKUP(E44,Engine!H:Q,10,FALSE)=0,"",VLOOKUP(E44,Engine!H:Q,10,FALSE))</f>
        <v>Raiders</v>
      </c>
      <c r="K44" s="72" t="str">
        <f t="shared" si="3"/>
        <v>ü</v>
      </c>
      <c r="L44" s="7">
        <f>VLOOKUP($A44,Engine!$D:$Z,22,FALSE)</f>
        <v>70</v>
      </c>
      <c r="M44" s="71"/>
      <c r="N44" s="7">
        <f>VLOOKUP($A44,Engine!$D:$Z,23,FALSE)</f>
        <v>2829</v>
      </c>
      <c r="O44" s="76"/>
    </row>
    <row r="45" spans="1:15" s="61" customFormat="1" x14ac:dyDescent="0.35">
      <c r="A45" s="68">
        <f t="shared" si="5"/>
        <v>31</v>
      </c>
      <c r="B45" s="7">
        <f t="shared" si="4"/>
        <v>31</v>
      </c>
      <c r="C45" s="69" t="str">
        <f>VLOOKUP($A45,Engine!$D:$H,2,FALSE)</f>
        <v>q</v>
      </c>
      <c r="D45" s="70">
        <f>VLOOKUP($A45,Engine!$D:$H,3,FALSE)</f>
        <v>2</v>
      </c>
      <c r="E45" s="7" t="str">
        <f>VLOOKUP($A45,Engine!$D:$H,5,FALSE)</f>
        <v>MR. TAYLOR</v>
      </c>
      <c r="F45" s="71"/>
      <c r="G45" s="8">
        <f>L45-VLOOKUP($A45,Engine!$D:$S,15,FALSE)</f>
        <v>1</v>
      </c>
      <c r="H45" s="8">
        <f>N45-VLOOKUP($A45,Engine!$D:$S,16,FALSE)</f>
        <v>16</v>
      </c>
      <c r="I45" s="9"/>
      <c r="J45" s="8" t="str">
        <f>IF(VLOOKUP(E45,Engine!H:Q,10,FALSE)=0,"",VLOOKUP(E45,Engine!H:Q,10,FALSE))</f>
        <v>Dolphins</v>
      </c>
      <c r="K45" s="72" t="str">
        <f t="shared" si="3"/>
        <v/>
      </c>
      <c r="L45" s="7">
        <f>VLOOKUP($A45,Engine!$D:$Z,22,FALSE)</f>
        <v>70</v>
      </c>
      <c r="M45" s="71"/>
      <c r="N45" s="7">
        <f>VLOOKUP($A45,Engine!$D:$Z,23,FALSE)</f>
        <v>2828</v>
      </c>
      <c r="O45" s="76"/>
    </row>
    <row r="46" spans="1:15" s="61" customFormat="1" x14ac:dyDescent="0.35">
      <c r="A46" s="68">
        <f t="shared" si="5"/>
        <v>32</v>
      </c>
      <c r="B46" s="7">
        <f t="shared" si="4"/>
        <v>32</v>
      </c>
      <c r="C46" s="69" t="str">
        <f>VLOOKUP($A46,Engine!$D:$H,2,FALSE)</f>
        <v>p</v>
      </c>
      <c r="D46" s="70">
        <f>VLOOKUP($A46,Engine!$D:$H,3,FALSE)</f>
        <v>2</v>
      </c>
      <c r="E46" s="7" t="str">
        <f>VLOOKUP($A46,Engine!$D:$H,5,FALSE)</f>
        <v>BillyB</v>
      </c>
      <c r="F46" s="71"/>
      <c r="G46" s="8">
        <f>L46-VLOOKUP($A46,Engine!$D:$S,15,FALSE)</f>
        <v>3</v>
      </c>
      <c r="H46" s="8">
        <f>N46-VLOOKUP($A46,Engine!$D:$S,16,FALSE)</f>
        <v>16</v>
      </c>
      <c r="I46" s="9"/>
      <c r="J46" s="8" t="str">
        <f>IF(VLOOKUP(E46,Engine!H:Q,10,FALSE)=0,"",VLOOKUP(E46,Engine!H:Q,10,FALSE))</f>
        <v>Raiders</v>
      </c>
      <c r="K46" s="72" t="str">
        <f t="shared" si="3"/>
        <v>ü</v>
      </c>
      <c r="L46" s="7">
        <f>VLOOKUP($A46,Engine!$D:$Z,22,FALSE)</f>
        <v>69</v>
      </c>
      <c r="M46" s="71"/>
      <c r="N46" s="7">
        <f>VLOOKUP($A46,Engine!$D:$Z,23,FALSE)</f>
        <v>2763</v>
      </c>
      <c r="O46" s="76"/>
    </row>
    <row r="47" spans="1:15" s="61" customFormat="1" x14ac:dyDescent="0.35">
      <c r="A47" s="68">
        <f t="shared" si="5"/>
        <v>33</v>
      </c>
      <c r="B47" s="7">
        <f t="shared" ref="B47:B72" si="6">A47</f>
        <v>33</v>
      </c>
      <c r="C47" s="69" t="str">
        <f>VLOOKUP($A47,Engine!$D:$H,2,FALSE)</f>
        <v>q</v>
      </c>
      <c r="D47" s="70">
        <f>VLOOKUP($A47,Engine!$D:$H,3,FALSE)</f>
        <v>2</v>
      </c>
      <c r="E47" s="7" t="str">
        <f>VLOOKUP($A47,Engine!$D:$H,5,FALSE)</f>
        <v>Stallion</v>
      </c>
      <c r="F47" s="71"/>
      <c r="G47" s="8">
        <f>L47-VLOOKUP($A47,Engine!$D:$S,15,FALSE)</f>
        <v>1</v>
      </c>
      <c r="H47" s="8">
        <f>N47-VLOOKUP($A47,Engine!$D:$S,16,FALSE)</f>
        <v>16</v>
      </c>
      <c r="I47" s="9"/>
      <c r="J47" s="8" t="str">
        <f>IF(VLOOKUP(E47,Engine!H:Q,10,FALSE)=0,"",VLOOKUP(E47,Engine!H:Q,10,FALSE))</f>
        <v>Storm</v>
      </c>
      <c r="K47" s="72" t="str">
        <f t="shared" ref="K47:K72" si="7">IF(COUNTIF(P$4:P$11,J47)=1,R$6,IF(COUNTIF(Q$4:Q$11,J47)=1,R$7,""))</f>
        <v/>
      </c>
      <c r="L47" s="7">
        <f>VLOOKUP($A47,Engine!$D:$Z,22,FALSE)</f>
        <v>69</v>
      </c>
      <c r="M47" s="71"/>
      <c r="N47" s="7">
        <f>VLOOKUP($A47,Engine!$D:$Z,23,FALSE)</f>
        <v>2715</v>
      </c>
      <c r="O47" s="74"/>
    </row>
    <row r="48" spans="1:15" s="61" customFormat="1" x14ac:dyDescent="0.35">
      <c r="A48" s="68">
        <f t="shared" si="5"/>
        <v>34</v>
      </c>
      <c r="B48" s="7">
        <f t="shared" si="6"/>
        <v>34</v>
      </c>
      <c r="C48" s="69" t="str">
        <f>VLOOKUP($A48,Engine!$D:$H,2,FALSE)</f>
        <v>p</v>
      </c>
      <c r="D48" s="70">
        <f>VLOOKUP($A48,Engine!$D:$H,3,FALSE)</f>
        <v>2</v>
      </c>
      <c r="E48" s="7" t="str">
        <f>VLOOKUP($A48,Engine!$D:$H,5,FALSE)</f>
        <v>MJP181</v>
      </c>
      <c r="F48" s="71"/>
      <c r="G48" s="8">
        <f>L48-VLOOKUP($A48,Engine!$D:$S,15,FALSE)</f>
        <v>3</v>
      </c>
      <c r="H48" s="8">
        <f>N48-VLOOKUP($A48,Engine!$D:$S,16,FALSE)</f>
        <v>16</v>
      </c>
      <c r="I48" s="9"/>
      <c r="J48" s="8" t="str">
        <f>IF(VLOOKUP(E48,Engine!H:Q,10,FALSE)=0,"",VLOOKUP(E48,Engine!H:Q,10,FALSE))</f>
        <v>Raiders</v>
      </c>
      <c r="K48" s="72" t="str">
        <f t="shared" si="7"/>
        <v>ü</v>
      </c>
      <c r="L48" s="7">
        <f>VLOOKUP($A48,Engine!$D:$Z,22,FALSE)</f>
        <v>68</v>
      </c>
      <c r="M48" s="71"/>
      <c r="N48" s="7">
        <f>VLOOKUP($A48,Engine!$D:$Z,23,FALSE)</f>
        <v>2760</v>
      </c>
      <c r="O48" s="74"/>
    </row>
    <row r="49" spans="1:14" s="61" customFormat="1" x14ac:dyDescent="0.35">
      <c r="A49" s="68">
        <f t="shared" si="5"/>
        <v>35</v>
      </c>
      <c r="B49" s="7">
        <f t="shared" si="6"/>
        <v>35</v>
      </c>
      <c r="C49" s="69" t="str">
        <f>VLOOKUP($A49,Engine!$D:$H,2,FALSE)</f>
        <v>q</v>
      </c>
      <c r="D49" s="70">
        <f>VLOOKUP($A49,Engine!$D:$H,3,FALSE)</f>
        <v>2</v>
      </c>
      <c r="E49" s="7" t="str">
        <f>VLOOKUP($A49,Engine!$D:$H,5,FALSE)</f>
        <v>MLC</v>
      </c>
      <c r="F49" s="71"/>
      <c r="G49" s="8">
        <f>L49-VLOOKUP($A49,Engine!$D:$S,15,FALSE)</f>
        <v>1</v>
      </c>
      <c r="H49" s="8">
        <f>N49-VLOOKUP($A49,Engine!$D:$S,16,FALSE)</f>
        <v>16</v>
      </c>
      <c r="I49" s="9"/>
      <c r="J49" s="8" t="str">
        <f>IF(VLOOKUP(E49,Engine!H:Q,10,FALSE)=0,"",VLOOKUP(E49,Engine!H:Q,10,FALSE))</f>
        <v>Dolphins</v>
      </c>
      <c r="K49" s="72" t="str">
        <f t="shared" si="7"/>
        <v/>
      </c>
      <c r="L49" s="7">
        <f>VLOOKUP($A49,Engine!$D:$Z,22,FALSE)</f>
        <v>67</v>
      </c>
      <c r="M49" s="71"/>
      <c r="N49" s="7">
        <f>VLOOKUP($A49,Engine!$D:$Z,23,FALSE)</f>
        <v>2787</v>
      </c>
    </row>
    <row r="50" spans="1:14" s="61" customFormat="1" x14ac:dyDescent="0.35">
      <c r="A50" s="68">
        <f t="shared" si="5"/>
        <v>36</v>
      </c>
      <c r="B50" s="7">
        <f t="shared" si="6"/>
        <v>36</v>
      </c>
      <c r="C50" s="69" t="str">
        <f>VLOOKUP($A50,Engine!$D:$H,2,FALSE)</f>
        <v>q</v>
      </c>
      <c r="D50" s="70">
        <f>VLOOKUP($A50,Engine!$D:$H,3,FALSE)</f>
        <v>1</v>
      </c>
      <c r="E50" s="7" t="str">
        <f>VLOOKUP($A50,Engine!$D:$H,5,FALSE)</f>
        <v>Matt Brownie</v>
      </c>
      <c r="F50" s="71"/>
      <c r="G50" s="8">
        <f>L50-VLOOKUP($A50,Engine!$D:$S,15,FALSE)</f>
        <v>1</v>
      </c>
      <c r="H50" s="8">
        <f>N50-VLOOKUP($A50,Engine!$D:$S,16,FALSE)</f>
        <v>16</v>
      </c>
      <c r="I50" s="9"/>
      <c r="J50" s="8" t="str">
        <f>IF(VLOOKUP(E50,Engine!H:Q,10,FALSE)=0,"",VLOOKUP(E50,Engine!H:Q,10,FALSE))</f>
        <v>Warriors</v>
      </c>
      <c r="K50" s="72" t="str">
        <f t="shared" si="7"/>
        <v/>
      </c>
      <c r="L50" s="7">
        <f>VLOOKUP($A50,Engine!$D:$Z,22,FALSE)</f>
        <v>67</v>
      </c>
      <c r="M50" s="71"/>
      <c r="N50" s="7">
        <f>VLOOKUP($A50,Engine!$D:$Z,23,FALSE)</f>
        <v>2700</v>
      </c>
    </row>
    <row r="51" spans="1:14" s="61" customFormat="1" x14ac:dyDescent="0.35">
      <c r="A51" s="68">
        <f t="shared" si="5"/>
        <v>37</v>
      </c>
      <c r="B51" s="7">
        <f t="shared" si="6"/>
        <v>37</v>
      </c>
      <c r="C51" s="69" t="str">
        <f>VLOOKUP($A51,Engine!$D:$H,2,FALSE)</f>
        <v>u</v>
      </c>
      <c r="D51" s="70" t="str">
        <f>VLOOKUP($A51,Engine!$D:$H,3,FALSE)</f>
        <v/>
      </c>
      <c r="E51" s="7" t="str">
        <f>VLOOKUP($A51,Engine!$D:$H,5,FALSE)</f>
        <v>Shagger</v>
      </c>
      <c r="F51" s="71"/>
      <c r="G51" s="8">
        <f>L51-VLOOKUP($A51,Engine!$D:$S,15,FALSE)</f>
        <v>1</v>
      </c>
      <c r="H51" s="8">
        <f>N51-VLOOKUP($A51,Engine!$D:$S,16,FALSE)</f>
        <v>16</v>
      </c>
      <c r="I51" s="9"/>
      <c r="J51" s="8" t="str">
        <f>IF(VLOOKUP(E51,Engine!H:Q,10,FALSE)=0,"",VLOOKUP(E51,Engine!H:Q,10,FALSE))</f>
        <v>Eels</v>
      </c>
      <c r="K51" s="72" t="str">
        <f t="shared" si="7"/>
        <v/>
      </c>
      <c r="L51" s="7">
        <f>VLOOKUP($A51,Engine!$D:$Z,22,FALSE)</f>
        <v>65</v>
      </c>
      <c r="M51" s="71"/>
      <c r="N51" s="7">
        <f>VLOOKUP($A51,Engine!$D:$Z,23,FALSE)</f>
        <v>2727</v>
      </c>
    </row>
    <row r="52" spans="1:14" s="61" customFormat="1" x14ac:dyDescent="0.35">
      <c r="A52" s="68">
        <f t="shared" si="5"/>
        <v>38</v>
      </c>
      <c r="B52" s="7">
        <f t="shared" si="6"/>
        <v>38</v>
      </c>
      <c r="C52" s="69" t="str">
        <f>VLOOKUP($A52,Engine!$D:$H,2,FALSE)</f>
        <v>p</v>
      </c>
      <c r="D52" s="70">
        <f>VLOOKUP($A52,Engine!$D:$H,3,FALSE)</f>
        <v>3</v>
      </c>
      <c r="E52" s="7" t="str">
        <f>VLOOKUP($A52,Engine!$D:$H,5,FALSE)</f>
        <v>Chunka</v>
      </c>
      <c r="F52" s="71"/>
      <c r="G52" s="8">
        <f>L52-VLOOKUP($A52,Engine!$D:$S,15,FALSE)</f>
        <v>3</v>
      </c>
      <c r="H52" s="8">
        <f>N52-VLOOKUP($A52,Engine!$D:$S,16,FALSE)</f>
        <v>16</v>
      </c>
      <c r="I52" s="9"/>
      <c r="J52" s="8" t="str">
        <f>IF(VLOOKUP(E52,Engine!H:Q,10,FALSE)=0,"",VLOOKUP(E52,Engine!H:Q,10,FALSE))</f>
        <v>Raiders</v>
      </c>
      <c r="K52" s="72" t="str">
        <f t="shared" si="7"/>
        <v>ü</v>
      </c>
      <c r="L52" s="7">
        <f>VLOOKUP($A52,Engine!$D:$Z,22,FALSE)</f>
        <v>64</v>
      </c>
      <c r="M52" s="71"/>
      <c r="N52" s="7">
        <f>VLOOKUP($A52,Engine!$D:$Z,23,FALSE)</f>
        <v>2803</v>
      </c>
    </row>
    <row r="53" spans="1:14" s="61" customFormat="1" x14ac:dyDescent="0.35">
      <c r="A53" s="68">
        <f t="shared" si="5"/>
        <v>39</v>
      </c>
      <c r="B53" s="7">
        <f t="shared" si="6"/>
        <v>39</v>
      </c>
      <c r="C53" s="69" t="str">
        <f>VLOOKUP($A53,Engine!$D:$H,2,FALSE)</f>
        <v>q</v>
      </c>
      <c r="D53" s="70">
        <f>VLOOKUP($A53,Engine!$D:$H,3,FALSE)</f>
        <v>1</v>
      </c>
      <c r="E53" s="7" t="str">
        <f>VLOOKUP($A53,Engine!$D:$H,5,FALSE)</f>
        <v>GeorgeTheDragon</v>
      </c>
      <c r="F53" s="71"/>
      <c r="G53" s="8">
        <f>L53-VLOOKUP($A53,Engine!$D:$S,15,FALSE)</f>
        <v>1</v>
      </c>
      <c r="H53" s="8">
        <f>N53-VLOOKUP($A53,Engine!$D:$S,16,FALSE)</f>
        <v>16</v>
      </c>
      <c r="I53" s="9"/>
      <c r="J53" s="8" t="str">
        <f>IF(VLOOKUP(E53,Engine!H:Q,10,FALSE)=0,"",VLOOKUP(E53,Engine!H:Q,10,FALSE))</f>
        <v>Warriors</v>
      </c>
      <c r="K53" s="72" t="str">
        <f t="shared" si="7"/>
        <v/>
      </c>
      <c r="L53" s="7">
        <f>VLOOKUP($A53,Engine!$D:$Z,22,FALSE)</f>
        <v>64</v>
      </c>
      <c r="M53" s="71"/>
      <c r="N53" s="7">
        <f>VLOOKUP($A53,Engine!$D:$Z,23,FALSE)</f>
        <v>2719</v>
      </c>
    </row>
    <row r="54" spans="1:14" x14ac:dyDescent="0.35">
      <c r="A54" s="68">
        <f t="shared" si="5"/>
        <v>40</v>
      </c>
      <c r="B54" s="7">
        <f t="shared" si="6"/>
        <v>40</v>
      </c>
      <c r="C54" s="69" t="str">
        <f>VLOOKUP($A54,Engine!$D:$H,2,FALSE)</f>
        <v>q</v>
      </c>
      <c r="D54" s="70">
        <f>VLOOKUP($A54,Engine!$D:$H,3,FALSE)</f>
        <v>1</v>
      </c>
      <c r="E54" s="7" t="str">
        <f>VLOOKUP($A54,Engine!$D:$H,5,FALSE)</f>
        <v>NotLast</v>
      </c>
      <c r="F54" s="71"/>
      <c r="G54" s="8">
        <f>L54-VLOOKUP($A54,Engine!$D:$S,15,FALSE)</f>
        <v>1</v>
      </c>
      <c r="H54" s="8">
        <f>N54-VLOOKUP($A54,Engine!$D:$S,16,FALSE)</f>
        <v>16</v>
      </c>
      <c r="I54" s="9"/>
      <c r="J54" s="8" t="str">
        <f>IF(VLOOKUP(E54,Engine!H:Q,10,FALSE)=0,"",VLOOKUP(E54,Engine!H:Q,10,FALSE))</f>
        <v>Dolphins</v>
      </c>
      <c r="K54" s="72" t="str">
        <f t="shared" si="7"/>
        <v/>
      </c>
      <c r="L54" s="7">
        <f>VLOOKUP($A54,Engine!$D:$Z,22,FALSE)</f>
        <v>63</v>
      </c>
      <c r="M54" s="71"/>
      <c r="N54" s="7">
        <f>VLOOKUP($A54,Engine!$D:$Z,23,FALSE)</f>
        <v>2780</v>
      </c>
    </row>
    <row r="55" spans="1:14" x14ac:dyDescent="0.35">
      <c r="A55" s="68">
        <f t="shared" si="5"/>
        <v>41</v>
      </c>
      <c r="B55" s="7">
        <f t="shared" si="6"/>
        <v>41</v>
      </c>
      <c r="C55" s="69" t="str">
        <f>VLOOKUP($A55,Engine!$D:$H,2,FALSE)</f>
        <v>p</v>
      </c>
      <c r="D55" s="70">
        <f>VLOOKUP($A55,Engine!$D:$H,3,FALSE)</f>
        <v>1</v>
      </c>
      <c r="E55" s="7" t="str">
        <f>VLOOKUP($A55,Engine!$D:$H,5,FALSE)</f>
        <v>Krusty</v>
      </c>
      <c r="F55" s="71"/>
      <c r="G55" s="8">
        <f>L55-VLOOKUP($A55,Engine!$D:$S,15,FALSE)</f>
        <v>3</v>
      </c>
      <c r="H55" s="8">
        <f>N55-VLOOKUP($A55,Engine!$D:$S,16,FALSE)</f>
        <v>16</v>
      </c>
      <c r="I55" s="9"/>
      <c r="J55" s="8" t="str">
        <f>IF(VLOOKUP(E55,Engine!H:Q,10,FALSE)=0,"",VLOOKUP(E55,Engine!H:Q,10,FALSE))</f>
        <v>Raiders</v>
      </c>
      <c r="K55" s="72" t="str">
        <f t="shared" si="7"/>
        <v>ü</v>
      </c>
      <c r="L55" s="7">
        <f>VLOOKUP($A55,Engine!$D:$Z,22,FALSE)</f>
        <v>63</v>
      </c>
      <c r="M55" s="71"/>
      <c r="N55" s="7">
        <f>VLOOKUP($A55,Engine!$D:$Z,23,FALSE)</f>
        <v>2661</v>
      </c>
    </row>
    <row r="56" spans="1:14" x14ac:dyDescent="0.35">
      <c r="A56" s="68">
        <f t="shared" si="5"/>
        <v>42</v>
      </c>
      <c r="B56" s="7">
        <f t="shared" si="6"/>
        <v>42</v>
      </c>
      <c r="C56" s="69" t="str">
        <f>VLOOKUP($A56,Engine!$D:$H,2,FALSE)</f>
        <v>p</v>
      </c>
      <c r="D56" s="70">
        <f>VLOOKUP($A56,Engine!$D:$H,3,FALSE)</f>
        <v>1</v>
      </c>
      <c r="E56" s="7" t="str">
        <f>VLOOKUP($A56,Engine!$D:$H,5,FALSE)</f>
        <v>Yackas</v>
      </c>
      <c r="F56" s="71"/>
      <c r="G56" s="8">
        <f>L56-VLOOKUP($A56,Engine!$D:$S,15,FALSE)</f>
        <v>3</v>
      </c>
      <c r="H56" s="8">
        <f>N56-VLOOKUP($A56,Engine!$D:$S,16,FALSE)</f>
        <v>16</v>
      </c>
      <c r="I56" s="9"/>
      <c r="J56" s="8" t="str">
        <f>IF(VLOOKUP(E56,Engine!H:Q,10,FALSE)=0,"",VLOOKUP(E56,Engine!H:Q,10,FALSE))</f>
        <v>Raiders</v>
      </c>
      <c r="K56" s="72" t="str">
        <f t="shared" si="7"/>
        <v>ü</v>
      </c>
      <c r="L56" s="7">
        <f>VLOOKUP($A56,Engine!$D:$Z,22,FALSE)</f>
        <v>63</v>
      </c>
      <c r="M56" s="71"/>
      <c r="N56" s="7">
        <f>VLOOKUP($A56,Engine!$D:$Z,23,FALSE)</f>
        <v>2504</v>
      </c>
    </row>
    <row r="57" spans="1:14" x14ac:dyDescent="0.35">
      <c r="A57" s="68">
        <f t="shared" si="5"/>
        <v>43</v>
      </c>
      <c r="B57" s="7">
        <f t="shared" si="6"/>
        <v>43</v>
      </c>
      <c r="C57" s="69" t="str">
        <f>VLOOKUP($A57,Engine!$D:$H,2,FALSE)</f>
        <v>q</v>
      </c>
      <c r="D57" s="70">
        <f>VLOOKUP($A57,Engine!$D:$H,3,FALSE)</f>
        <v>3</v>
      </c>
      <c r="E57" s="7" t="str">
        <f>VLOOKUP($A57,Engine!$D:$H,5,FALSE)</f>
        <v>I miss Benji</v>
      </c>
      <c r="F57" s="71"/>
      <c r="G57" s="8">
        <f>L57-VLOOKUP($A57,Engine!$D:$S,15,FALSE)</f>
        <v>1</v>
      </c>
      <c r="H57" s="8">
        <f>N57-VLOOKUP($A57,Engine!$D:$S,16,FALSE)</f>
        <v>16</v>
      </c>
      <c r="I57" s="9"/>
      <c r="J57" s="8" t="str">
        <f>IF(VLOOKUP(E57,Engine!H:Q,10,FALSE)=0,"",VLOOKUP(E57,Engine!H:Q,10,FALSE))</f>
        <v>Dolphins</v>
      </c>
      <c r="K57" s="72" t="str">
        <f t="shared" si="7"/>
        <v/>
      </c>
      <c r="L57" s="7">
        <f>VLOOKUP($A57,Engine!$D:$Z,22,FALSE)</f>
        <v>62</v>
      </c>
      <c r="M57" s="71"/>
      <c r="N57" s="7">
        <f>VLOOKUP($A57,Engine!$D:$Z,23,FALSE)</f>
        <v>2833</v>
      </c>
    </row>
    <row r="58" spans="1:14" x14ac:dyDescent="0.35">
      <c r="A58" s="68">
        <f t="shared" si="5"/>
        <v>44</v>
      </c>
      <c r="B58" s="7">
        <f t="shared" si="6"/>
        <v>44</v>
      </c>
      <c r="C58" s="69" t="str">
        <f>VLOOKUP($A58,Engine!$D:$H,2,FALSE)</f>
        <v>u</v>
      </c>
      <c r="D58" s="70" t="str">
        <f>VLOOKUP($A58,Engine!$D:$H,3,FALSE)</f>
        <v/>
      </c>
      <c r="E58" s="7" t="str">
        <f>VLOOKUP($A58,Engine!$D:$H,5,FALSE)</f>
        <v>Big Baba</v>
      </c>
      <c r="F58" s="71"/>
      <c r="G58" s="8">
        <f>L58-VLOOKUP($A58,Engine!$D:$S,15,FALSE)</f>
        <v>1</v>
      </c>
      <c r="H58" s="8">
        <f>N58-VLOOKUP($A58,Engine!$D:$S,16,FALSE)</f>
        <v>16</v>
      </c>
      <c r="I58" s="9"/>
      <c r="J58" s="8" t="str">
        <f>IF(VLOOKUP(E58,Engine!H:Q,10,FALSE)=0,"",VLOOKUP(E58,Engine!H:Q,10,FALSE))</f>
        <v>Dolphins</v>
      </c>
      <c r="K58" s="72" t="str">
        <f t="shared" si="7"/>
        <v/>
      </c>
      <c r="L58" s="7">
        <f>VLOOKUP($A58,Engine!$D:$Z,22,FALSE)</f>
        <v>60</v>
      </c>
      <c r="M58" s="71"/>
      <c r="N58" s="7">
        <f>VLOOKUP($A58,Engine!$D:$Z,23,FALSE)</f>
        <v>2680</v>
      </c>
    </row>
    <row r="59" spans="1:14" x14ac:dyDescent="0.35">
      <c r="A59" s="68">
        <f t="shared" si="5"/>
        <v>45</v>
      </c>
      <c r="B59" s="7">
        <f t="shared" si="6"/>
        <v>45</v>
      </c>
      <c r="C59" s="69" t="str">
        <f>VLOOKUP($A59,Engine!$D:$H,2,FALSE)</f>
        <v>p</v>
      </c>
      <c r="D59" s="70">
        <f>VLOOKUP($A59,Engine!$D:$H,3,FALSE)</f>
        <v>2</v>
      </c>
      <c r="E59" s="7" t="str">
        <f>VLOOKUP($A59,Engine!$D:$H,5,FALSE)</f>
        <v>***Footy Tipper***</v>
      </c>
      <c r="F59" s="71"/>
      <c r="G59" s="8">
        <f>L59-VLOOKUP($A59,Engine!$D:$S,15,FALSE)</f>
        <v>3</v>
      </c>
      <c r="H59" s="8">
        <f>N59-VLOOKUP($A59,Engine!$D:$S,16,FALSE)</f>
        <v>16</v>
      </c>
      <c r="I59" s="9"/>
      <c r="J59" s="8" t="str">
        <f>IF(VLOOKUP(E59,Engine!H:Q,10,FALSE)=0,"",VLOOKUP(E59,Engine!H:Q,10,FALSE))</f>
        <v>Raiders</v>
      </c>
      <c r="K59" s="72" t="str">
        <f t="shared" si="7"/>
        <v>ü</v>
      </c>
      <c r="L59" s="7">
        <f>VLOOKUP($A59,Engine!$D:$Z,22,FALSE)</f>
        <v>60</v>
      </c>
      <c r="M59" s="71"/>
      <c r="N59" s="7">
        <f>VLOOKUP($A59,Engine!$D:$Z,23,FALSE)</f>
        <v>2653</v>
      </c>
    </row>
    <row r="60" spans="1:14" x14ac:dyDescent="0.35">
      <c r="A60" s="68">
        <f t="shared" si="5"/>
        <v>46</v>
      </c>
      <c r="B60" s="7">
        <f t="shared" si="6"/>
        <v>46</v>
      </c>
      <c r="C60" s="69" t="str">
        <f>VLOOKUP($A60,Engine!$D:$H,2,FALSE)</f>
        <v>q</v>
      </c>
      <c r="D60" s="70">
        <f>VLOOKUP($A60,Engine!$D:$H,3,FALSE)</f>
        <v>1</v>
      </c>
      <c r="E60" s="7" t="str">
        <f>VLOOKUP($A60,Engine!$D:$H,5,FALSE)</f>
        <v>Adel Messih</v>
      </c>
      <c r="F60" s="71"/>
      <c r="G60" s="8">
        <f>L60-VLOOKUP($A60,Engine!$D:$S,15,FALSE)</f>
        <v>1</v>
      </c>
      <c r="H60" s="8">
        <f>N60-VLOOKUP($A60,Engine!$D:$S,16,FALSE)</f>
        <v>16</v>
      </c>
      <c r="I60" s="9"/>
      <c r="J60" s="8" t="str">
        <f>IF(VLOOKUP(E60,Engine!H:Q,10,FALSE)=0,"",VLOOKUP(E60,Engine!H:Q,10,FALSE))</f>
        <v>Dolphins</v>
      </c>
      <c r="K60" s="72" t="str">
        <f t="shared" si="7"/>
        <v/>
      </c>
      <c r="L60" s="7">
        <f>VLOOKUP($A60,Engine!$D:$Z,22,FALSE)</f>
        <v>59</v>
      </c>
      <c r="M60" s="71"/>
      <c r="N60" s="7">
        <f>VLOOKUP($A60,Engine!$D:$Z,23,FALSE)</f>
        <v>2782</v>
      </c>
    </row>
    <row r="61" spans="1:14" x14ac:dyDescent="0.35">
      <c r="A61" s="68">
        <f t="shared" si="5"/>
        <v>47</v>
      </c>
      <c r="B61" s="7">
        <f t="shared" si="6"/>
        <v>47</v>
      </c>
      <c r="C61" s="69" t="str">
        <f>VLOOKUP($A61,Engine!$D:$H,2,FALSE)</f>
        <v>q</v>
      </c>
      <c r="D61" s="70">
        <f>VLOOKUP($A61,Engine!$D:$H,3,FALSE)</f>
        <v>1</v>
      </c>
      <c r="E61" s="7" t="str">
        <f>VLOOKUP($A61,Engine!$D:$H,5,FALSE)</f>
        <v>Splinter</v>
      </c>
      <c r="F61" s="71"/>
      <c r="G61" s="8">
        <f>L61-VLOOKUP($A61,Engine!$D:$S,15,FALSE)</f>
        <v>1</v>
      </c>
      <c r="H61" s="8">
        <f>N61-VLOOKUP($A61,Engine!$D:$S,16,FALSE)</f>
        <v>16</v>
      </c>
      <c r="I61" s="9"/>
      <c r="J61" s="8" t="str">
        <f>IF(VLOOKUP(E61,Engine!H:Q,10,FALSE)=0,"",VLOOKUP(E61,Engine!H:Q,10,FALSE))</f>
        <v>Storm</v>
      </c>
      <c r="K61" s="72" t="str">
        <f t="shared" si="7"/>
        <v/>
      </c>
      <c r="L61" s="7">
        <f>VLOOKUP($A61,Engine!$D:$Z,22,FALSE)</f>
        <v>59</v>
      </c>
      <c r="M61" s="71"/>
      <c r="N61" s="7">
        <f>VLOOKUP($A61,Engine!$D:$Z,23,FALSE)</f>
        <v>2775</v>
      </c>
    </row>
    <row r="62" spans="1:14" x14ac:dyDescent="0.35">
      <c r="A62" s="68">
        <f t="shared" si="5"/>
        <v>48</v>
      </c>
      <c r="B62" s="7">
        <f t="shared" si="6"/>
        <v>48</v>
      </c>
      <c r="C62" s="69" t="str">
        <f>VLOOKUP($A62,Engine!$D:$H,2,FALSE)</f>
        <v>p</v>
      </c>
      <c r="D62" s="70">
        <f>VLOOKUP($A62,Engine!$D:$H,3,FALSE)</f>
        <v>1</v>
      </c>
      <c r="E62" s="7" t="str">
        <f>VLOOKUP($A62,Engine!$D:$H,5,FALSE)</f>
        <v>Admireel</v>
      </c>
      <c r="F62" s="71"/>
      <c r="G62" s="8">
        <f>L62-VLOOKUP($A62,Engine!$D:$S,15,FALSE)</f>
        <v>1</v>
      </c>
      <c r="H62" s="8">
        <f>N62-VLOOKUP($A62,Engine!$D:$S,16,FALSE)</f>
        <v>16</v>
      </c>
      <c r="I62" s="9"/>
      <c r="J62" s="8" t="str">
        <f>IF(VLOOKUP(E62,Engine!H:Q,10,FALSE)=0,"",VLOOKUP(E62,Engine!H:Q,10,FALSE))</f>
        <v>Roosters</v>
      </c>
      <c r="K62" s="72" t="str">
        <f t="shared" si="7"/>
        <v/>
      </c>
      <c r="L62" s="7">
        <f>VLOOKUP($A62,Engine!$D:$Z,22,FALSE)</f>
        <v>57</v>
      </c>
      <c r="M62" s="71"/>
      <c r="N62" s="7">
        <f>VLOOKUP($A62,Engine!$D:$Z,23,FALSE)</f>
        <v>2727</v>
      </c>
    </row>
    <row r="63" spans="1:14" x14ac:dyDescent="0.35">
      <c r="A63" s="68">
        <f t="shared" si="5"/>
        <v>49</v>
      </c>
      <c r="B63" s="7">
        <f t="shared" si="6"/>
        <v>49</v>
      </c>
      <c r="C63" s="69" t="str">
        <f>VLOOKUP($A63,Engine!$D:$H,2,FALSE)</f>
        <v>q</v>
      </c>
      <c r="D63" s="70">
        <f>VLOOKUP($A63,Engine!$D:$H,3,FALSE)</f>
        <v>1</v>
      </c>
      <c r="E63" s="7" t="str">
        <f>VLOOKUP($A63,Engine!$D:$H,5,FALSE)</f>
        <v>Lukebrooksbiggestfan</v>
      </c>
      <c r="F63" s="71"/>
      <c r="G63" s="8">
        <f>L63-VLOOKUP($A63,Engine!$D:$S,15,FALSE)</f>
        <v>0</v>
      </c>
      <c r="H63" s="8">
        <f>N63-VLOOKUP($A63,Engine!$D:$S,16,FALSE)</f>
        <v>12</v>
      </c>
      <c r="I63" s="9"/>
      <c r="J63" s="8" t="str">
        <f>IF(VLOOKUP(E63,Engine!H:Q,10,FALSE)=0,"",VLOOKUP(E63,Engine!H:Q,10,FALSE))</f>
        <v>Dolphins</v>
      </c>
      <c r="K63" s="72" t="str">
        <f t="shared" si="7"/>
        <v/>
      </c>
      <c r="L63" s="7">
        <f>VLOOKUP($A63,Engine!$D:$Z,22,FALSE)</f>
        <v>56</v>
      </c>
      <c r="M63" s="71"/>
      <c r="N63" s="7">
        <f>VLOOKUP($A63,Engine!$D:$Z,23,FALSE)</f>
        <v>2742</v>
      </c>
    </row>
    <row r="64" spans="1:14" x14ac:dyDescent="0.35">
      <c r="A64" s="68">
        <f t="shared" si="5"/>
        <v>50</v>
      </c>
      <c r="B64" s="7">
        <f t="shared" si="6"/>
        <v>50</v>
      </c>
      <c r="C64" s="69" t="str">
        <f>VLOOKUP($A64,Engine!$D:$H,2,FALSE)</f>
        <v>u</v>
      </c>
      <c r="D64" s="70" t="str">
        <f>VLOOKUP($A64,Engine!$D:$H,3,FALSE)</f>
        <v/>
      </c>
      <c r="E64" s="7" t="str">
        <f>VLOOKUP($A64,Engine!$D:$H,5,FALSE)</f>
        <v>Westy</v>
      </c>
      <c r="F64" s="71"/>
      <c r="G64" s="8">
        <f>L64-VLOOKUP($A64,Engine!$D:$S,15,FALSE)</f>
        <v>1</v>
      </c>
      <c r="H64" s="8">
        <f>N64-VLOOKUP($A64,Engine!$D:$S,16,FALSE)</f>
        <v>16</v>
      </c>
      <c r="I64" s="9"/>
      <c r="J64" s="8" t="str">
        <f>IF(VLOOKUP(E64,Engine!H:Q,10,FALSE)=0,"",VLOOKUP(E64,Engine!H:Q,10,FALSE))</f>
        <v>Storm</v>
      </c>
      <c r="K64" s="72" t="str">
        <f t="shared" si="7"/>
        <v/>
      </c>
      <c r="L64" s="7">
        <f>VLOOKUP($A64,Engine!$D:$Z,22,FALSE)</f>
        <v>54</v>
      </c>
      <c r="M64" s="71"/>
      <c r="N64" s="7">
        <f>VLOOKUP($A64,Engine!$D:$Z,23,FALSE)</f>
        <v>2644</v>
      </c>
    </row>
    <row r="65" spans="1:14" x14ac:dyDescent="0.35">
      <c r="A65" s="68">
        <f t="shared" si="5"/>
        <v>51</v>
      </c>
      <c r="B65" s="7">
        <f t="shared" si="6"/>
        <v>51</v>
      </c>
      <c r="C65" s="69" t="str">
        <f>VLOOKUP($A65,Engine!$D:$H,2,FALSE)</f>
        <v>u</v>
      </c>
      <c r="D65" s="70" t="str">
        <f>VLOOKUP($A65,Engine!$D:$H,3,FALSE)</f>
        <v/>
      </c>
      <c r="E65" s="7" t="str">
        <f>VLOOKUP($A65,Engine!$D:$H,5,FALSE)</f>
        <v>iTerry</v>
      </c>
      <c r="F65" s="71"/>
      <c r="G65" s="8">
        <f>L65-VLOOKUP($A65,Engine!$D:$S,15,FALSE)</f>
        <v>1</v>
      </c>
      <c r="H65" s="8">
        <f>N65-VLOOKUP($A65,Engine!$D:$S,16,FALSE)</f>
        <v>16</v>
      </c>
      <c r="I65" s="9"/>
      <c r="J65" s="8" t="str">
        <f>IF(VLOOKUP(E65,Engine!H:Q,10,FALSE)=0,"",VLOOKUP(E65,Engine!H:Q,10,FALSE))</f>
        <v>Roosters</v>
      </c>
      <c r="K65" s="72" t="str">
        <f t="shared" si="7"/>
        <v/>
      </c>
      <c r="L65" s="7">
        <f>VLOOKUP($A65,Engine!$D:$Z,22,FALSE)</f>
        <v>52</v>
      </c>
      <c r="M65" s="71"/>
      <c r="N65" s="7">
        <f>VLOOKUP($A65,Engine!$D:$Z,23,FALSE)</f>
        <v>2649</v>
      </c>
    </row>
    <row r="66" spans="1:14" x14ac:dyDescent="0.35">
      <c r="A66" s="68">
        <f t="shared" si="5"/>
        <v>52</v>
      </c>
      <c r="B66" s="7">
        <f t="shared" si="6"/>
        <v>52</v>
      </c>
      <c r="C66" s="69" t="str">
        <f>VLOOKUP($A66,Engine!$D:$H,2,FALSE)</f>
        <v>p</v>
      </c>
      <c r="D66" s="70">
        <f>VLOOKUP($A66,Engine!$D:$H,3,FALSE)</f>
        <v>1</v>
      </c>
      <c r="E66" s="7" t="str">
        <f>VLOOKUP($A66,Engine!$D:$H,5,FALSE)</f>
        <v>isha68</v>
      </c>
      <c r="F66" s="71"/>
      <c r="G66" s="8">
        <f>L66-VLOOKUP($A66,Engine!$D:$S,15,FALSE)</f>
        <v>3</v>
      </c>
      <c r="H66" s="8">
        <f>N66-VLOOKUP($A66,Engine!$D:$S,16,FALSE)</f>
        <v>16</v>
      </c>
      <c r="I66" s="9"/>
      <c r="J66" s="8" t="str">
        <f>IF(VLOOKUP(E66,Engine!H:Q,10,FALSE)=0,"",VLOOKUP(E66,Engine!H:Q,10,FALSE))</f>
        <v>Raiders</v>
      </c>
      <c r="K66" s="72" t="str">
        <f t="shared" si="7"/>
        <v>ü</v>
      </c>
      <c r="L66" s="7">
        <f>VLOOKUP($A66,Engine!$D:$Z,22,FALSE)</f>
        <v>50</v>
      </c>
      <c r="M66" s="71"/>
      <c r="N66" s="7">
        <f>VLOOKUP($A66,Engine!$D:$Z,23,FALSE)</f>
        <v>2648</v>
      </c>
    </row>
    <row r="67" spans="1:14" x14ac:dyDescent="0.35">
      <c r="A67" s="68">
        <f t="shared" si="5"/>
        <v>53</v>
      </c>
      <c r="B67" s="7">
        <f t="shared" si="6"/>
        <v>53</v>
      </c>
      <c r="C67" s="69" t="str">
        <f>VLOOKUP($A67,Engine!$D:$H,2,FALSE)</f>
        <v>q</v>
      </c>
      <c r="D67" s="70">
        <f>VLOOKUP($A67,Engine!$D:$H,3,FALSE)</f>
        <v>1</v>
      </c>
      <c r="E67" s="7" t="str">
        <f>VLOOKUP($A67,Engine!$D:$H,5,FALSE)</f>
        <v>Timbo</v>
      </c>
      <c r="F67" s="71"/>
      <c r="G67" s="8">
        <f>L67-VLOOKUP($A67,Engine!$D:$S,15,FALSE)</f>
        <v>1</v>
      </c>
      <c r="H67" s="8">
        <f>N67-VLOOKUP($A67,Engine!$D:$S,16,FALSE)</f>
        <v>16</v>
      </c>
      <c r="I67" s="9"/>
      <c r="J67" s="8" t="str">
        <f>IF(VLOOKUP(E67,Engine!H:Q,10,FALSE)=0,"",VLOOKUP(E67,Engine!H:Q,10,FALSE))</f>
        <v>Roosters</v>
      </c>
      <c r="K67" s="72" t="str">
        <f t="shared" si="7"/>
        <v/>
      </c>
      <c r="L67" s="7">
        <f>VLOOKUP($A67,Engine!$D:$Z,22,FALSE)</f>
        <v>49</v>
      </c>
      <c r="M67" s="71"/>
      <c r="N67" s="7">
        <f>VLOOKUP($A67,Engine!$D:$Z,23,FALSE)</f>
        <v>2671</v>
      </c>
    </row>
    <row r="68" spans="1:14" x14ac:dyDescent="0.35">
      <c r="A68" s="68">
        <f t="shared" si="5"/>
        <v>54</v>
      </c>
      <c r="B68" s="7">
        <f t="shared" si="6"/>
        <v>54</v>
      </c>
      <c r="C68" s="69" t="str">
        <f>VLOOKUP($A68,Engine!$D:$H,2,FALSE)</f>
        <v>u</v>
      </c>
      <c r="D68" s="70" t="str">
        <f>VLOOKUP($A68,Engine!$D:$H,3,FALSE)</f>
        <v/>
      </c>
      <c r="E68" s="7" t="str">
        <f>VLOOKUP($A68,Engine!$D:$H,5,FALSE)</f>
        <v>blakey94</v>
      </c>
      <c r="F68" s="71"/>
      <c r="G68" s="8">
        <f>L68-VLOOKUP($A68,Engine!$D:$S,15,FALSE)</f>
        <v>3</v>
      </c>
      <c r="H68" s="8">
        <f>N68-VLOOKUP($A68,Engine!$D:$S,16,FALSE)</f>
        <v>16</v>
      </c>
      <c r="I68" s="9"/>
      <c r="J68" s="8" t="str">
        <f>IF(VLOOKUP(E68,Engine!H:Q,10,FALSE)=0,"",VLOOKUP(E68,Engine!H:Q,10,FALSE))</f>
        <v>Raiders</v>
      </c>
      <c r="K68" s="72" t="str">
        <f t="shared" si="7"/>
        <v>ü</v>
      </c>
      <c r="L68" s="7">
        <f>VLOOKUP($A68,Engine!$D:$Z,22,FALSE)</f>
        <v>46</v>
      </c>
      <c r="M68" s="71"/>
      <c r="N68" s="7">
        <f>VLOOKUP($A68,Engine!$D:$Z,23,FALSE)</f>
        <v>2599</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0</v>
      </c>
      <c r="H69" s="8">
        <f>N69-VLOOKUP($A69,Engine!$D:$S,16,FALSE)</f>
        <v>12</v>
      </c>
      <c r="I69" s="9"/>
      <c r="J69" s="8" t="str">
        <f>IF(VLOOKUP(E69,Engine!H:Q,10,FALSE)=0,"",VLOOKUP(E69,Engine!H:Q,10,FALSE))</f>
        <v>No Tips</v>
      </c>
      <c r="K69" s="72" t="str">
        <f t="shared" si="7"/>
        <v/>
      </c>
      <c r="L69" s="7">
        <f>VLOOKUP($A69,Engine!$D:$Z,22,FALSE)</f>
        <v>20</v>
      </c>
      <c r="M69" s="71"/>
      <c r="N69" s="7">
        <f>VLOOKUP($A69,Engine!$D:$Z,23,FALSE)</f>
        <v>2304</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sM50zaZev3Atf+Ma2A3XUiC6WFJ6EKV4LjJskXb5zB4EXZRSxP4k38FSq/35z8mKAGL4Dd8R/qe0HW85Wn7BuA==" saltValue="kmItIXskCF9jw5qYtqfNSg=="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58"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23</v>
      </c>
      <c r="C2" s="111">
        <f>IF(H2="ZZZZZZ Suspend","",R2+(S2/100000)+(G2/1000000000))</f>
        <v>72.027310092999997</v>
      </c>
      <c r="D2">
        <f t="shared" ref="D2:D33" si="1">IF(H2="ZZZZZZ Suspend","",RANK(AA2,AA:AA))</f>
        <v>25</v>
      </c>
      <c r="E2" s="3" t="str">
        <f>IF(H2="ZZZZZZ Suspend","",IF(D2&lt;B2,AD$3,IF(D2&gt;B2,AD$4,AD$5)))</f>
        <v>q</v>
      </c>
      <c r="F2">
        <f t="shared" ref="F2" si="2">IF(H2="ZZZZZZ Suspend","",IF(D2&gt;B2,D2-B2,IF(D2&lt;B2,B2-D2,"")))</f>
        <v>2</v>
      </c>
      <c r="G2">
        <v>93</v>
      </c>
      <c r="H2" t="str">
        <f>Data!A3</f>
        <v>9986</v>
      </c>
      <c r="I2" s="2" t="str">
        <f>Data!C3</f>
        <v>Raiders</v>
      </c>
      <c r="J2" s="2" t="str">
        <f>Data!D3</f>
        <v>Warriors</v>
      </c>
      <c r="K2" s="2" t="str">
        <f>Data!E3</f>
        <v>Dolphins</v>
      </c>
      <c r="L2" s="2" t="str">
        <f>IF(Data!$S$3&lt;Engine!L$1,0,Data!F3)</f>
        <v>Storm</v>
      </c>
      <c r="M2" s="2" t="str">
        <f>IF(Data!$S$3&lt;Engine!M$1,0,Data!G3)</f>
        <v>Broncos</v>
      </c>
      <c r="N2" s="2" t="str">
        <f>IF(Data!$S$3&lt;Engine!N$1,0,Data!H3)</f>
        <v>Roosters</v>
      </c>
      <c r="O2" s="2" t="str">
        <f>IF(Data!$S$3&lt;Engine!O$1,0,Data!I3)</f>
        <v>Titans</v>
      </c>
      <c r="P2" s="2">
        <f>IF(Data!$S$3&lt;Engine!P$1,0,Data!J3)</f>
        <v>0</v>
      </c>
      <c r="Q2" s="11" t="str">
        <f>IF(Data!B3=1,Data!K3,"No Tips")</f>
        <v>Dolphins</v>
      </c>
      <c r="R2" s="2">
        <f>Data!L3</f>
        <v>72</v>
      </c>
      <c r="S2" s="2">
        <f>Data!M3</f>
        <v>2731</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16</v>
      </c>
      <c r="Y2">
        <f t="shared" ref="Y2:Y15" si="4">IF(H2="ZZZZZZ Suspend","",R2+W2)</f>
        <v>73</v>
      </c>
      <c r="Z2">
        <f t="shared" ref="Z2" si="5">IF(H2="ZZZZZZ Suspend","",S2+X2)</f>
        <v>2747</v>
      </c>
      <c r="AA2" s="111">
        <f>IF(H2="ZZZZZZ Suspend","",Y2+(Z2/100000)+(G2/1000000000))</f>
        <v>73.027470092999991</v>
      </c>
      <c r="AB2">
        <f t="shared" ref="AB2:AB65"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16</v>
      </c>
      <c r="AD2">
        <f>MIN(AB:AB)</f>
        <v>0</v>
      </c>
      <c r="AE2">
        <f>MIN(AC:AC)</f>
        <v>12</v>
      </c>
      <c r="AF2">
        <f>IF(I2="","",IF(Q2="",0,IF(AND(Q2&gt;0,COUNTIF('Stats Calculator'!$T$24:$AA$24,Q2)=1),HLOOKUP(Q2,'Stats Calculator'!$T$24:$AA$27,4,FALSE),IF(AND(Q2&gt;0,COUNTIF('Stats Calculator'!$T$25:$AA$25,Q2)=1),HLOOKUP(Q2,'Stats Calculator'!$T$25:$AA$27,3,FALSE)))))</f>
        <v>3</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6</v>
      </c>
      <c r="AJ2">
        <f>IF(I2="","",IF(AF2=0,0,IF(VLOOKUP(AF2,'Stats Calculator'!B$31:E$38,4,FALSE)&gt;0,0,2)))</f>
        <v>2</v>
      </c>
      <c r="AK2">
        <f>IF(I2="","",IF(Data!S$3-Engine!AI2=AG2,2,0))</f>
        <v>2</v>
      </c>
      <c r="AL2">
        <f t="shared" ref="AL2" si="7">IF(I2="","",SUM(AG2:AK2))</f>
        <v>11</v>
      </c>
    </row>
    <row r="3" spans="1:38" x14ac:dyDescent="0.35">
      <c r="A3">
        <v>2</v>
      </c>
      <c r="B3">
        <f t="shared" si="0"/>
        <v>8</v>
      </c>
      <c r="C3" s="111">
        <f t="shared" ref="C3:C66" si="8">IF(H3="ZZZZZZ Suspend","",R3+(S3/100000)+(G3/1000000000))</f>
        <v>78.027670091999994</v>
      </c>
      <c r="D3">
        <f t="shared" si="1"/>
        <v>9</v>
      </c>
      <c r="E3" s="3" t="str">
        <f t="shared" ref="E3:E66" si="9">IF(H3="ZZZZZZ Suspend","",IF(D3&lt;B3,AD$3,IF(D3&gt;B3,AD$4,AD$5)))</f>
        <v>q</v>
      </c>
      <c r="F3">
        <f t="shared" ref="F3:F66" si="10">IF(H3="ZZZZZZ Suspend","",IF(D3&gt;B3,D3-B3,IF(D3&lt;B3,B3-D3,"")))</f>
        <v>1</v>
      </c>
      <c r="G3">
        <v>92</v>
      </c>
      <c r="H3" t="str">
        <f>Data!A4</f>
        <v>Ad</v>
      </c>
      <c r="I3" s="2" t="str">
        <f>Data!C4</f>
        <v>Raiders</v>
      </c>
      <c r="J3" s="2" t="str">
        <f>Data!D4</f>
        <v>Warriors</v>
      </c>
      <c r="K3" s="2" t="str">
        <f>Data!E4</f>
        <v>Dolphins</v>
      </c>
      <c r="L3" s="2" t="str">
        <f>IF(Data!$S$3&lt;Engine!L$1,0,Data!F4)</f>
        <v>Storm</v>
      </c>
      <c r="M3" s="2" t="str">
        <f>IF(Data!$S$3&lt;Engine!M$1,0,Data!G4)</f>
        <v>Broncos</v>
      </c>
      <c r="N3" s="2" t="str">
        <f>IF(Data!$S$3&lt;Engine!N$1,0,Data!H4)</f>
        <v>Roosters</v>
      </c>
      <c r="O3" s="2" t="str">
        <f>IF(Data!$S$3&lt;Engine!O$1,0,Data!I4)</f>
        <v>Eels</v>
      </c>
      <c r="P3" s="2">
        <f>IF(Data!$S$3&lt;Engine!P$1,0,Data!J4)</f>
        <v>0</v>
      </c>
      <c r="Q3" s="11" t="str">
        <f>IF(Data!B4=1,Data!K4,"No Tips")</f>
        <v>Warriors</v>
      </c>
      <c r="R3" s="2">
        <f>Data!L4</f>
        <v>78</v>
      </c>
      <c r="S3" s="2">
        <f>Data!M4</f>
        <v>2767</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16</v>
      </c>
      <c r="Y3">
        <f t="shared" si="4"/>
        <v>79</v>
      </c>
      <c r="Z3">
        <f t="shared" ref="Z3:Z66" si="12">IF(H3="ZZZZZZ Suspend","",S3+X3)</f>
        <v>2783</v>
      </c>
      <c r="AA3" s="111">
        <f t="shared" ref="AA3:AA66" si="13">IF(H3="ZZZZZZ Suspend","",Y3+(Z3/100000)+(G3/1000000000))</f>
        <v>79.027830091999988</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16</v>
      </c>
      <c r="AD3" s="3"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6</v>
      </c>
      <c r="AJ3">
        <f>IF(I3="","",IF(AF3=0,0,IF(VLOOKUP(AF3,'Stats Calculator'!B$31:E$38,4,FALSE)&gt;0,0,2)))</f>
        <v>2</v>
      </c>
      <c r="AK3">
        <f>IF(I3="","",IF(Data!S$3-Engine!AI3=AG3,2,0))</f>
        <v>2</v>
      </c>
      <c r="AL3">
        <f t="shared" ref="AL3:AL66" si="14">IF(I3="","",SUM(AG3:AK3))</f>
        <v>11</v>
      </c>
    </row>
    <row r="4" spans="1:38" x14ac:dyDescent="0.35">
      <c r="A4">
        <v>3</v>
      </c>
      <c r="B4">
        <f t="shared" si="0"/>
        <v>45</v>
      </c>
      <c r="C4" s="111">
        <f t="shared" si="8"/>
        <v>58.027660090999994</v>
      </c>
      <c r="D4">
        <f t="shared" si="1"/>
        <v>46</v>
      </c>
      <c r="E4" s="3" t="str">
        <f t="shared" si="9"/>
        <v>q</v>
      </c>
      <c r="F4">
        <f t="shared" si="10"/>
        <v>1</v>
      </c>
      <c r="G4">
        <v>91</v>
      </c>
      <c r="H4" t="str">
        <f>Data!A5</f>
        <v>Adel Messih</v>
      </c>
      <c r="I4" s="2" t="str">
        <f>Data!C5</f>
        <v>Raiders</v>
      </c>
      <c r="J4" s="2" t="str">
        <f>Data!D5</f>
        <v>Warriors</v>
      </c>
      <c r="K4" s="2" t="str">
        <f>Data!E5</f>
        <v>Dolphins</v>
      </c>
      <c r="L4" s="2" t="str">
        <f>IF(Data!$S$3&lt;Engine!L$1,0,Data!F5)</f>
        <v>Storm</v>
      </c>
      <c r="M4" s="2" t="str">
        <f>IF(Data!$S$3&lt;Engine!M$1,0,Data!G5)</f>
        <v>Broncos</v>
      </c>
      <c r="N4" s="2" t="str">
        <f>IF(Data!$S$3&lt;Engine!N$1,0,Data!H5)</f>
        <v>Roosters</v>
      </c>
      <c r="O4" s="2" t="str">
        <f>IF(Data!$S$3&lt;Engine!O$1,0,Data!I5)</f>
        <v>Titans</v>
      </c>
      <c r="P4" s="2">
        <f>IF(Data!$S$3&lt;Engine!P$1,0,Data!J5)</f>
        <v>0</v>
      </c>
      <c r="Q4" s="11" t="str">
        <f>IF(Data!B5=1,Data!K5,"No Tips")</f>
        <v>Dolphins</v>
      </c>
      <c r="R4" s="2">
        <f>Data!L5</f>
        <v>58</v>
      </c>
      <c r="S4" s="2">
        <f>Data!M5</f>
        <v>2766</v>
      </c>
      <c r="T4" s="1">
        <f>IF(I4="","",COUNTIF('Live Ladder'!P:P,I4)+COUNTIF('Live Ladder'!P:P,J4)+COUNTIF('Live Ladder'!P:P,K4)+COUNTIF('Live Ladder'!P:P,L4)+COUNTIF('Live Ladder'!P:P,M4)+COUNTIF('Live Ladder'!P:P,N4)+COUNTIF('Live Ladder'!P:P,O4)+COUNTIF('Live Ladder'!P:P,P4))</f>
        <v>1</v>
      </c>
      <c r="U4" s="1">
        <f>IF(I4="","",IF(COUNTIF('Live Ladder'!P:P,Engine!Q4)=1,2,IF(COUNTIF('Live Ladder'!Q:Q,Engine!Q4)=1,-2,0)))</f>
        <v>0</v>
      </c>
      <c r="V4" s="1">
        <f>IF(I4="","",IF(T4=Data!S$3,2,0))</f>
        <v>0</v>
      </c>
      <c r="W4" s="1">
        <f t="shared" si="11"/>
        <v>1</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16</v>
      </c>
      <c r="Y4">
        <f t="shared" si="4"/>
        <v>59</v>
      </c>
      <c r="Z4">
        <f t="shared" si="12"/>
        <v>2782</v>
      </c>
      <c r="AA4" s="111">
        <f t="shared" si="13"/>
        <v>59.027820090999995</v>
      </c>
      <c r="AB4">
        <f t="shared" si="6"/>
        <v>1</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16</v>
      </c>
      <c r="AD4" s="3"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1</v>
      </c>
      <c r="AH4">
        <f>IF(I4="","",IF(Q4="",0,IF(Q4=0,0,IF(VLOOKUP(Engine!AF4,'Stats Calculator'!B$31:E$38,4,FALSE)="",0,IF(VLOOKUP(Engine!AF4,'Stats Calculator'!B$31:E$38,4,FALSE)=Q4,2,-2)))))</f>
        <v>0</v>
      </c>
      <c r="AI4">
        <f>IF(I4="","",Data!S$3-COUNTA('Stats Calculator'!E$31:E$38))</f>
        <v>6</v>
      </c>
      <c r="AJ4">
        <f>IF(I4="","",IF(AF4=0,0,IF(VLOOKUP(AF4,'Stats Calculator'!B$31:E$38,4,FALSE)&gt;0,0,2)))</f>
        <v>2</v>
      </c>
      <c r="AK4">
        <f>IF(I4="","",IF(Data!S$3-Engine!AI4=AG4,2,0))</f>
        <v>2</v>
      </c>
      <c r="AL4">
        <f t="shared" si="14"/>
        <v>11</v>
      </c>
    </row>
    <row r="5" spans="1:38" x14ac:dyDescent="0.35">
      <c r="A5">
        <v>4</v>
      </c>
      <c r="B5">
        <f t="shared" si="0"/>
        <v>49</v>
      </c>
      <c r="C5" s="111">
        <f t="shared" si="8"/>
        <v>56.027110090000001</v>
      </c>
      <c r="D5">
        <f t="shared" si="1"/>
        <v>48</v>
      </c>
      <c r="E5" s="3" t="str">
        <f t="shared" si="9"/>
        <v>p</v>
      </c>
      <c r="F5">
        <f t="shared" si="10"/>
        <v>1</v>
      </c>
      <c r="G5">
        <v>90</v>
      </c>
      <c r="H5" t="str">
        <f>Data!A6</f>
        <v>Admireel</v>
      </c>
      <c r="I5" s="2" t="str">
        <f>Data!C6</f>
        <v>Raiders</v>
      </c>
      <c r="J5" s="2" t="str">
        <f>Data!D6</f>
        <v>Warriors</v>
      </c>
      <c r="K5" s="2" t="str">
        <f>Data!E6</f>
        <v>Dolphins</v>
      </c>
      <c r="L5" s="2" t="str">
        <f>IF(Data!$S$3&lt;Engine!L$1,0,Data!F6)</f>
        <v>Storm</v>
      </c>
      <c r="M5" s="2" t="str">
        <f>IF(Data!$S$3&lt;Engine!M$1,0,Data!G6)</f>
        <v>Sharks</v>
      </c>
      <c r="N5" s="2" t="str">
        <f>IF(Data!$S$3&lt;Engine!N$1,0,Data!H6)</f>
        <v>Roosters</v>
      </c>
      <c r="O5" s="2" t="str">
        <f>IF(Data!$S$3&lt;Engine!O$1,0,Data!I6)</f>
        <v>Eels</v>
      </c>
      <c r="P5" s="2">
        <f>IF(Data!$S$3&lt;Engine!P$1,0,Data!J6)</f>
        <v>0</v>
      </c>
      <c r="Q5" s="11" t="str">
        <f>IF(Data!B6=1,Data!K6,"No Tips")</f>
        <v>Roosters</v>
      </c>
      <c r="R5" s="2">
        <f>Data!L6</f>
        <v>56</v>
      </c>
      <c r="S5" s="2">
        <f>Data!M6</f>
        <v>2711</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16</v>
      </c>
      <c r="Y5">
        <f t="shared" si="4"/>
        <v>57</v>
      </c>
      <c r="Z5">
        <f t="shared" si="12"/>
        <v>2727</v>
      </c>
      <c r="AA5" s="111">
        <f t="shared" si="13"/>
        <v>57.027270090000002</v>
      </c>
      <c r="AB5">
        <f t="shared" si="6"/>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16</v>
      </c>
      <c r="AD5" s="3" t="s">
        <v>16</v>
      </c>
      <c r="AF5">
        <f>IF(I5="","",IF(Q5="",0,IF(AND(Q5&gt;0,COUNTIF('Stats Calculator'!$T$24:$AA$24,Q5)=1),HLOOKUP(Q5,'Stats Calculator'!$T$24:$AA$27,4,FALSE),IF(AND(Q5&gt;0,COUNTIF('Stats Calculator'!$T$25:$AA$25,Q5)=1),HLOOKUP(Q5,'Stats Calculator'!$T$25:$AA$27,3,FALSE)))))</f>
        <v>6</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6</v>
      </c>
      <c r="AJ5">
        <f>IF(I5="","",IF(AF5=0,0,IF(VLOOKUP(AF5,'Stats Calculator'!B$31:E$38,4,FALSE)&gt;0,0,2)))</f>
        <v>2</v>
      </c>
      <c r="AK5">
        <f>IF(I5="","",IF(Data!S$3-Engine!AI5=AG5,2,0))</f>
        <v>2</v>
      </c>
      <c r="AL5">
        <f t="shared" si="14"/>
        <v>11</v>
      </c>
    </row>
    <row r="6" spans="1:38" x14ac:dyDescent="0.35">
      <c r="A6">
        <v>5</v>
      </c>
      <c r="B6">
        <f t="shared" si="0"/>
        <v>25</v>
      </c>
      <c r="C6" s="111">
        <f t="shared" si="8"/>
        <v>71.028350089</v>
      </c>
      <c r="D6">
        <f t="shared" si="1"/>
        <v>22</v>
      </c>
      <c r="E6" s="3" t="str">
        <f t="shared" si="9"/>
        <v>p</v>
      </c>
      <c r="F6">
        <f t="shared" si="10"/>
        <v>3</v>
      </c>
      <c r="G6">
        <v>89</v>
      </c>
      <c r="H6" t="str">
        <f>Data!A7</f>
        <v>Bart Simpson</v>
      </c>
      <c r="I6" s="2" t="str">
        <f>Data!C7</f>
        <v>Raiders</v>
      </c>
      <c r="J6" s="2" t="str">
        <f>Data!D7</f>
        <v>Warriors</v>
      </c>
      <c r="K6" s="2" t="str">
        <f>Data!E7</f>
        <v>Dolphins</v>
      </c>
      <c r="L6" s="2" t="str">
        <f>IF(Data!$S$3&lt;Engine!L$1,0,Data!F7)</f>
        <v>Storm</v>
      </c>
      <c r="M6" s="2" t="str">
        <f>IF(Data!$S$3&lt;Engine!M$1,0,Data!G7)</f>
        <v>Broncos</v>
      </c>
      <c r="N6" s="2" t="str">
        <f>IF(Data!$S$3&lt;Engine!N$1,0,Data!H7)</f>
        <v>Roosters</v>
      </c>
      <c r="O6" s="2" t="str">
        <f>IF(Data!$S$3&lt;Engine!O$1,0,Data!I7)</f>
        <v>Eels</v>
      </c>
      <c r="P6" s="2">
        <f>IF(Data!$S$3&lt;Engine!P$1,0,Data!J7)</f>
        <v>0</v>
      </c>
      <c r="Q6" s="11" t="str">
        <f>IF(Data!B7=1,Data!K7,"No Tips")</f>
        <v>Raiders</v>
      </c>
      <c r="R6" s="2">
        <f>Data!L7</f>
        <v>71</v>
      </c>
      <c r="S6" s="2">
        <f>Data!M7</f>
        <v>2835</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2</v>
      </c>
      <c r="V6" s="1">
        <f>IF(I6="","",IF(T6=Data!S$3,2,0))</f>
        <v>0</v>
      </c>
      <c r="W6" s="1">
        <f t="shared" si="11"/>
        <v>3</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16</v>
      </c>
      <c r="Y6">
        <f t="shared" si="4"/>
        <v>74</v>
      </c>
      <c r="Z6">
        <f t="shared" si="12"/>
        <v>2851</v>
      </c>
      <c r="AA6" s="111">
        <f t="shared" si="13"/>
        <v>74.028510088999994</v>
      </c>
      <c r="AB6">
        <f t="shared" si="6"/>
        <v>3</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16</v>
      </c>
      <c r="AF6">
        <f>IF(I6="","",IF(Q6="",0,IF(AND(Q6&gt;0,COUNTIF('Stats Calculator'!$T$24:$AA$24,Q6)=1),HLOOKUP(Q6,'Stats Calculator'!$T$24:$AA$27,4,FALSE),IF(AND(Q6&gt;0,COUNTIF('Stats Calculator'!$T$25:$AA$25,Q6)=1),HLOOKUP(Q6,'Stats Calculator'!$T$25:$AA$27,3,FALSE)))))</f>
        <v>1</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2</v>
      </c>
      <c r="AI6">
        <f>IF(I6="","",Data!S$3-COUNTA('Stats Calculator'!E$31:E$38))</f>
        <v>6</v>
      </c>
      <c r="AJ6">
        <f>IF(I6="","",IF(AF6=0,0,IF(VLOOKUP(AF6,'Stats Calculator'!B$31:E$38,4,FALSE)&gt;0,0,2)))</f>
        <v>0</v>
      </c>
      <c r="AK6">
        <f>IF(I6="","",IF(Data!S$3-Engine!AI6=AG6,2,0))</f>
        <v>2</v>
      </c>
      <c r="AL6">
        <f t="shared" si="14"/>
        <v>11</v>
      </c>
    </row>
    <row r="7" spans="1:38" x14ac:dyDescent="0.35">
      <c r="A7">
        <v>6</v>
      </c>
      <c r="B7">
        <f t="shared" si="0"/>
        <v>44</v>
      </c>
      <c r="C7" s="111">
        <f t="shared" si="8"/>
        <v>59.026640088000001</v>
      </c>
      <c r="D7">
        <f t="shared" si="1"/>
        <v>44</v>
      </c>
      <c r="E7" s="3" t="str">
        <f t="shared" si="9"/>
        <v>u</v>
      </c>
      <c r="F7" t="str">
        <f t="shared" si="10"/>
        <v/>
      </c>
      <c r="G7">
        <v>88</v>
      </c>
      <c r="H7" t="str">
        <f>Data!A8</f>
        <v>Big Baba</v>
      </c>
      <c r="I7" s="2" t="str">
        <f>Data!C8</f>
        <v>Raiders</v>
      </c>
      <c r="J7" s="2" t="str">
        <f>Data!D8</f>
        <v>Warriors</v>
      </c>
      <c r="K7" s="2" t="str">
        <f>Data!E8</f>
        <v>Dolphins</v>
      </c>
      <c r="L7" s="2" t="str">
        <f>IF(Data!$S$3&lt;Engine!L$1,0,Data!F8)</f>
        <v>Storm</v>
      </c>
      <c r="M7" s="2" t="str">
        <f>IF(Data!$S$3&lt;Engine!M$1,0,Data!G8)</f>
        <v>Broncos</v>
      </c>
      <c r="N7" s="2" t="str">
        <f>IF(Data!$S$3&lt;Engine!N$1,0,Data!H8)</f>
        <v>Roosters</v>
      </c>
      <c r="O7" s="2" t="str">
        <f>IF(Data!$S$3&lt;Engine!O$1,0,Data!I8)</f>
        <v>Titans</v>
      </c>
      <c r="P7" s="2">
        <f>IF(Data!$S$3&lt;Engine!P$1,0,Data!J8)</f>
        <v>0</v>
      </c>
      <c r="Q7" s="11" t="str">
        <f>IF(Data!B8=1,Data!K8,"No Tips")</f>
        <v>Dolphins</v>
      </c>
      <c r="R7" s="2">
        <f>Data!L8</f>
        <v>59</v>
      </c>
      <c r="S7" s="2">
        <f>Data!M8</f>
        <v>2664</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16</v>
      </c>
      <c r="Y7">
        <f t="shared" si="4"/>
        <v>60</v>
      </c>
      <c r="Z7">
        <f t="shared" si="12"/>
        <v>2680</v>
      </c>
      <c r="AA7" s="111">
        <f t="shared" si="13"/>
        <v>60.026800088000002</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16</v>
      </c>
      <c r="AF7">
        <f>IF(I7="","",IF(Q7="",0,IF(AND(Q7&gt;0,COUNTIF('Stats Calculator'!$T$24:$AA$24,Q7)=1),HLOOKUP(Q7,'Stats Calculator'!$T$24:$AA$27,4,FALSE),IF(AND(Q7&gt;0,COUNTIF('Stats Calculator'!$T$25:$AA$25,Q7)=1),HLOOKUP(Q7,'Stats Calculator'!$T$25:$AA$27,3,FALSE)))))</f>
        <v>3</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6</v>
      </c>
      <c r="AJ7">
        <f>IF(I7="","",IF(AF7=0,0,IF(VLOOKUP(AF7,'Stats Calculator'!B$31:E$38,4,FALSE)&gt;0,0,2)))</f>
        <v>2</v>
      </c>
      <c r="AK7">
        <f>IF(I7="","",IF(Data!S$3-Engine!AI7=AG7,2,0))</f>
        <v>2</v>
      </c>
      <c r="AL7">
        <f t="shared" si="14"/>
        <v>11</v>
      </c>
    </row>
    <row r="8" spans="1:38" s="108" customFormat="1" x14ac:dyDescent="0.35">
      <c r="A8" s="108">
        <v>7</v>
      </c>
      <c r="B8" s="108">
        <f t="shared" si="0"/>
        <v>9</v>
      </c>
      <c r="C8" s="111">
        <f t="shared" si="8"/>
        <v>77.028350087000007</v>
      </c>
      <c r="D8" s="108">
        <f t="shared" si="1"/>
        <v>12</v>
      </c>
      <c r="E8" s="109" t="str">
        <f t="shared" si="9"/>
        <v>q</v>
      </c>
      <c r="F8" s="108">
        <f t="shared" si="10"/>
        <v>3</v>
      </c>
      <c r="G8">
        <v>87</v>
      </c>
      <c r="H8" t="str">
        <f>Data!A9</f>
        <v>Big Moose</v>
      </c>
      <c r="I8" s="2" t="str">
        <f>Data!C9</f>
        <v>Raiders</v>
      </c>
      <c r="J8" s="2" t="str">
        <f>Data!D9</f>
        <v>Warriors</v>
      </c>
      <c r="K8" s="2" t="str">
        <f>Data!E9</f>
        <v>Dolphins</v>
      </c>
      <c r="L8" s="2" t="str">
        <f>IF(Data!$S$3&lt;Engine!L$1,0,Data!F9)</f>
        <v>Storm</v>
      </c>
      <c r="M8" s="2" t="str">
        <f>IF(Data!$S$3&lt;Engine!M$1,0,Data!G9)</f>
        <v>Broncos</v>
      </c>
      <c r="N8" s="2" t="str">
        <f>IF(Data!$S$3&lt;Engine!N$1,0,Data!H9)</f>
        <v>Roosters</v>
      </c>
      <c r="O8" s="2" t="str">
        <f>IF(Data!$S$3&lt;Engine!O$1,0,Data!I9)</f>
        <v>Titans</v>
      </c>
      <c r="P8" s="2">
        <f>IF(Data!$S$3&lt;Engine!P$1,0,Data!J9)</f>
        <v>0</v>
      </c>
      <c r="Q8" s="11" t="str">
        <f>IF(Data!B9=1,Data!K9,"No Tips")</f>
        <v>Warriors</v>
      </c>
      <c r="R8" s="2">
        <f>Data!L9</f>
        <v>77</v>
      </c>
      <c r="S8" s="2">
        <f>Data!M9</f>
        <v>2835</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0</v>
      </c>
      <c r="V8" s="110">
        <f>IF(I8="","",IF(T8=Data!S$3,2,0))</f>
        <v>0</v>
      </c>
      <c r="W8" s="110">
        <f t="shared" si="11"/>
        <v>1</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16</v>
      </c>
      <c r="Y8" s="108">
        <f t="shared" si="4"/>
        <v>78</v>
      </c>
      <c r="Z8" s="108">
        <f t="shared" si="12"/>
        <v>2851</v>
      </c>
      <c r="AA8" s="111">
        <f t="shared" si="13"/>
        <v>78.028510087000001</v>
      </c>
      <c r="AB8">
        <f t="shared" si="6"/>
        <v>1</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16</v>
      </c>
      <c r="AF8" s="108">
        <f>IF(I8="","",IF(Q8="",0,IF(AND(Q8&gt;0,COUNTIF('Stats Calculator'!$T$24:$AA$24,Q8)=1),HLOOKUP(Q8,'Stats Calculator'!$T$24:$AA$27,4,FALSE),IF(AND(Q8&gt;0,COUNTIF('Stats Calculator'!$T$25:$AA$25,Q8)=1),HLOOKUP(Q8,'Stats Calculator'!$T$25:$AA$27,3,FALSE)))))</f>
        <v>2</v>
      </c>
      <c r="AG8" s="108">
        <f>IF(I8="","",COUNTIF(I8,'Stats Calculator'!E$31)+COUNTIF(J8,'Stats Calculator'!E$32)+COUNTIF(K8,'Stats Calculator'!E$33)+COUNTIF(L8,'Stats Calculator'!E$34)+COUNTIF(M8,'Stats Calculator'!E$35)+COUNTIF(N8,'Stats Calculator'!E$36)+COUNTIF(O8,'Stats Calculator'!E$37)+COUNTIF(P8,'Stats Calculator'!E$38)-8+Data!S$3)</f>
        <v>1</v>
      </c>
      <c r="AH8" s="108">
        <f>IF(I8="","",IF(Q8="",0,IF(Q8=0,0,IF(VLOOKUP(Engine!AF8,'Stats Calculator'!B$31:E$38,4,FALSE)="",0,IF(VLOOKUP(Engine!AF8,'Stats Calculator'!B$31:E$38,4,FALSE)=Q8,2,-2)))))</f>
        <v>0</v>
      </c>
      <c r="AI8" s="108">
        <f>IF(I8="","",Data!S$3-COUNTA('Stats Calculator'!E$31:E$38))</f>
        <v>6</v>
      </c>
      <c r="AJ8" s="108">
        <f>IF(I8="","",IF(AF8=0,0,IF(VLOOKUP(AF8,'Stats Calculator'!B$31:E$38,4,FALSE)&gt;0,0,2)))</f>
        <v>2</v>
      </c>
      <c r="AK8" s="108">
        <f>IF(I8="","",IF(Data!S$3-Engine!AI8=AG8,2,0))</f>
        <v>2</v>
      </c>
      <c r="AL8" s="108">
        <f t="shared" si="14"/>
        <v>11</v>
      </c>
    </row>
    <row r="9" spans="1:38" x14ac:dyDescent="0.35">
      <c r="A9">
        <v>8</v>
      </c>
      <c r="B9">
        <f t="shared" si="0"/>
        <v>34</v>
      </c>
      <c r="C9" s="111">
        <f t="shared" si="8"/>
        <v>66.027470085999994</v>
      </c>
      <c r="D9">
        <f t="shared" si="1"/>
        <v>32</v>
      </c>
      <c r="E9" s="3" t="str">
        <f t="shared" si="9"/>
        <v>p</v>
      </c>
      <c r="F9">
        <f t="shared" si="10"/>
        <v>2</v>
      </c>
      <c r="G9">
        <v>86</v>
      </c>
      <c r="H9" t="str">
        <f>Data!A10</f>
        <v>BillyB</v>
      </c>
      <c r="I9" s="2" t="str">
        <f>Data!C10</f>
        <v>Raiders</v>
      </c>
      <c r="J9" s="2" t="str">
        <f>Data!D10</f>
        <v>Warriors</v>
      </c>
      <c r="K9" s="2" t="str">
        <f>Data!E10</f>
        <v>Dolphins</v>
      </c>
      <c r="L9" s="2" t="str">
        <f>IF(Data!$S$3&lt;Engine!L$1,0,Data!F10)</f>
        <v>Rabbitohs</v>
      </c>
      <c r="M9" s="2" t="str">
        <f>IF(Data!$S$3&lt;Engine!M$1,0,Data!G10)</f>
        <v>Sharks</v>
      </c>
      <c r="N9" s="2" t="str">
        <f>IF(Data!$S$3&lt;Engine!N$1,0,Data!H10)</f>
        <v>Cowboys</v>
      </c>
      <c r="O9" s="2" t="str">
        <f>IF(Data!$S$3&lt;Engine!O$1,0,Data!I10)</f>
        <v>Eels</v>
      </c>
      <c r="P9" s="2">
        <f>IF(Data!$S$3&lt;Engine!P$1,0,Data!J10)</f>
        <v>0</v>
      </c>
      <c r="Q9" s="11" t="str">
        <f>IF(Data!B10=1,Data!K10,"No Tips")</f>
        <v>Raiders</v>
      </c>
      <c r="R9" s="2">
        <f>Data!L10</f>
        <v>66</v>
      </c>
      <c r="S9" s="2">
        <f>Data!M10</f>
        <v>2747</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2</v>
      </c>
      <c r="V9" s="1">
        <f>IF(I9="","",IF(T9=Data!S$3,2,0))</f>
        <v>0</v>
      </c>
      <c r="W9" s="1">
        <f t="shared" si="11"/>
        <v>3</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16</v>
      </c>
      <c r="Y9">
        <f t="shared" si="4"/>
        <v>69</v>
      </c>
      <c r="Z9">
        <f t="shared" si="12"/>
        <v>2763</v>
      </c>
      <c r="AA9" s="111">
        <f t="shared" si="13"/>
        <v>69.027630086000002</v>
      </c>
      <c r="AB9">
        <f t="shared" si="6"/>
        <v>3</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16</v>
      </c>
      <c r="AF9">
        <f>IF(I9="","",IF(Q9="",0,IF(AND(Q9&gt;0,COUNTIF('Stats Calculator'!$T$24:$AA$24,Q9)=1),HLOOKUP(Q9,'Stats Calculator'!$T$24:$AA$27,4,FALSE),IF(AND(Q9&gt;0,COUNTIF('Stats Calculator'!$T$25:$AA$25,Q9)=1),HLOOKUP(Q9,'Stats Calculator'!$T$25:$AA$27,3,FALSE)))))</f>
        <v>1</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2</v>
      </c>
      <c r="AI9">
        <f>IF(I9="","",Data!S$3-COUNTA('Stats Calculator'!E$31:E$38))</f>
        <v>6</v>
      </c>
      <c r="AJ9">
        <f>IF(I9="","",IF(AF9=0,0,IF(VLOOKUP(AF9,'Stats Calculator'!B$31:E$38,4,FALSE)&gt;0,0,2)))</f>
        <v>0</v>
      </c>
      <c r="AK9">
        <f>IF(I9="","",IF(Data!S$3-Engine!AI9=AG9,2,0))</f>
        <v>2</v>
      </c>
      <c r="AL9">
        <f t="shared" si="14"/>
        <v>11</v>
      </c>
    </row>
    <row r="10" spans="1:38" x14ac:dyDescent="0.35">
      <c r="A10">
        <v>9</v>
      </c>
      <c r="B10">
        <f t="shared" si="0"/>
        <v>54</v>
      </c>
      <c r="C10" s="111">
        <f t="shared" si="8"/>
        <v>43.025830085000003</v>
      </c>
      <c r="D10">
        <f t="shared" si="1"/>
        <v>54</v>
      </c>
      <c r="E10" s="3" t="str">
        <f t="shared" si="9"/>
        <v>u</v>
      </c>
      <c r="F10" t="str">
        <f t="shared" si="10"/>
        <v/>
      </c>
      <c r="G10">
        <v>85</v>
      </c>
      <c r="H10" t="str">
        <f>Data!A11</f>
        <v>blakey94</v>
      </c>
      <c r="I10" s="2" t="str">
        <f>Data!C11</f>
        <v>Raiders</v>
      </c>
      <c r="J10" s="2" t="str">
        <f>Data!D11</f>
        <v>Warriors</v>
      </c>
      <c r="K10" s="2" t="str">
        <f>Data!E11</f>
        <v>Knights</v>
      </c>
      <c r="L10" s="2" t="str">
        <f>IF(Data!$S$3&lt;Engine!L$1,0,Data!F11)</f>
        <v>Storm</v>
      </c>
      <c r="M10" s="2" t="str">
        <f>IF(Data!$S$3&lt;Engine!M$1,0,Data!G11)</f>
        <v>Sharks</v>
      </c>
      <c r="N10" s="2" t="str">
        <f>IF(Data!$S$3&lt;Engine!N$1,0,Data!H11)</f>
        <v>Roosters</v>
      </c>
      <c r="O10" s="2" t="str">
        <f>IF(Data!$S$3&lt;Engine!O$1,0,Data!I11)</f>
        <v>Titans</v>
      </c>
      <c r="P10" s="2">
        <f>IF(Data!$S$3&lt;Engine!P$1,0,Data!J11)</f>
        <v>0</v>
      </c>
      <c r="Q10" s="11" t="str">
        <f>IF(Data!B11=1,Data!K11,"No Tips")</f>
        <v>Raiders</v>
      </c>
      <c r="R10" s="2">
        <f>Data!L11</f>
        <v>43</v>
      </c>
      <c r="S10" s="2">
        <f>Data!M11</f>
        <v>2583</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2</v>
      </c>
      <c r="V10" s="1">
        <f>IF(I10="","",IF(T10=Data!S$3,2,0))</f>
        <v>0</v>
      </c>
      <c r="W10" s="1">
        <f t="shared" si="11"/>
        <v>3</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16</v>
      </c>
      <c r="Y10">
        <f t="shared" si="4"/>
        <v>46</v>
      </c>
      <c r="Z10">
        <f t="shared" si="12"/>
        <v>2599</v>
      </c>
      <c r="AA10" s="111">
        <f t="shared" si="13"/>
        <v>46.025990085000004</v>
      </c>
      <c r="AB10">
        <f t="shared" si="6"/>
        <v>3</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16</v>
      </c>
      <c r="AF10">
        <f>IF(I10="","",IF(Q10="",0,IF(AND(Q10&gt;0,COUNTIF('Stats Calculator'!$T$24:$AA$24,Q10)=1),HLOOKUP(Q10,'Stats Calculator'!$T$24:$AA$27,4,FALSE),IF(AND(Q10&gt;0,COUNTIF('Stats Calculator'!$T$25:$AA$25,Q10)=1),HLOOKUP(Q10,'Stats Calculator'!$T$25:$AA$27,3,FALSE)))))</f>
        <v>1</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2</v>
      </c>
      <c r="AI10">
        <f>IF(I10="","",Data!S$3-COUNTA('Stats Calculator'!E$31:E$38))</f>
        <v>6</v>
      </c>
      <c r="AJ10">
        <f>IF(I10="","",IF(AF10=0,0,IF(VLOOKUP(AF10,'Stats Calculator'!B$31:E$38,4,FALSE)&gt;0,0,2)))</f>
        <v>0</v>
      </c>
      <c r="AK10">
        <f>IF(I10="","",IF(Data!S$3-Engine!AI10=AG10,2,0))</f>
        <v>2</v>
      </c>
      <c r="AL10">
        <f t="shared" si="14"/>
        <v>11</v>
      </c>
    </row>
    <row r="11" spans="1:38" x14ac:dyDescent="0.35">
      <c r="A11">
        <v>10</v>
      </c>
      <c r="B11">
        <f t="shared" si="0"/>
        <v>15</v>
      </c>
      <c r="C11" s="111">
        <f t="shared" si="8"/>
        <v>74.027630084000009</v>
      </c>
      <c r="D11">
        <f t="shared" si="1"/>
        <v>15</v>
      </c>
      <c r="E11" s="3" t="str">
        <f t="shared" si="9"/>
        <v>u</v>
      </c>
      <c r="F11" t="str">
        <f t="shared" si="10"/>
        <v/>
      </c>
      <c r="G11">
        <v>84</v>
      </c>
      <c r="H11" t="str">
        <f>Data!A12</f>
        <v>Bridie</v>
      </c>
      <c r="I11" s="2" t="str">
        <f>Data!C12</f>
        <v>Raiders</v>
      </c>
      <c r="J11" s="2" t="str">
        <f>Data!D12</f>
        <v>Warriors</v>
      </c>
      <c r="K11" s="2" t="str">
        <f>Data!E12</f>
        <v>Dolphins</v>
      </c>
      <c r="L11" s="2" t="str">
        <f>IF(Data!$S$3&lt;Engine!L$1,0,Data!F12)</f>
        <v>Storm</v>
      </c>
      <c r="M11" s="2" t="str">
        <f>IF(Data!$S$3&lt;Engine!M$1,0,Data!G12)</f>
        <v>Sharks</v>
      </c>
      <c r="N11" s="2" t="str">
        <f>IF(Data!$S$3&lt;Engine!N$1,0,Data!H12)</f>
        <v>Roosters</v>
      </c>
      <c r="O11" s="2" t="str">
        <f>IF(Data!$S$3&lt;Engine!O$1,0,Data!I12)</f>
        <v>Titans</v>
      </c>
      <c r="P11" s="2">
        <f>IF(Data!$S$3&lt;Engine!P$1,0,Data!J12)</f>
        <v>0</v>
      </c>
      <c r="Q11" s="11" t="str">
        <f>IF(Data!B12=1,Data!K12,"No Tips")</f>
        <v>Raiders</v>
      </c>
      <c r="R11" s="2">
        <f>Data!L12</f>
        <v>74</v>
      </c>
      <c r="S11" s="2">
        <f>Data!M12</f>
        <v>2763</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2</v>
      </c>
      <c r="V11" s="1">
        <f>IF(I11="","",IF(T11=Data!S$3,2,0))</f>
        <v>0</v>
      </c>
      <c r="W11" s="1">
        <f t="shared" si="11"/>
        <v>3</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16</v>
      </c>
      <c r="Y11">
        <f t="shared" si="4"/>
        <v>77</v>
      </c>
      <c r="Z11">
        <f t="shared" si="12"/>
        <v>2779</v>
      </c>
      <c r="AA11" s="111">
        <f t="shared" si="13"/>
        <v>77.027790084000003</v>
      </c>
      <c r="AB11">
        <f t="shared" si="6"/>
        <v>3</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16</v>
      </c>
      <c r="AF11">
        <f>IF(I11="","",IF(Q11="",0,IF(AND(Q11&gt;0,COUNTIF('Stats Calculator'!$T$24:$AA$24,Q11)=1),HLOOKUP(Q11,'Stats Calculator'!$T$24:$AA$27,4,FALSE),IF(AND(Q11&gt;0,COUNTIF('Stats Calculator'!$T$25:$AA$25,Q11)=1),HLOOKUP(Q11,'Stats Calculator'!$T$25:$AA$27,3,FALSE)))))</f>
        <v>1</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2</v>
      </c>
      <c r="AI11">
        <f>IF(I11="","",Data!S$3-COUNTA('Stats Calculator'!E$31:E$38))</f>
        <v>6</v>
      </c>
      <c r="AJ11">
        <f>IF(I11="","",IF(AF11=0,0,IF(VLOOKUP(AF11,'Stats Calculator'!B$31:E$38,4,FALSE)&gt;0,0,2)))</f>
        <v>0</v>
      </c>
      <c r="AK11">
        <f>IF(I11="","",IF(Data!S$3-Engine!AI11=AG11,2,0))</f>
        <v>2</v>
      </c>
      <c r="AL11">
        <f t="shared" si="14"/>
        <v>11</v>
      </c>
    </row>
    <row r="12" spans="1:38" x14ac:dyDescent="0.35">
      <c r="A12">
        <v>11</v>
      </c>
      <c r="B12">
        <f t="shared" si="0"/>
        <v>20</v>
      </c>
      <c r="C12" s="111">
        <f>IF(H12="ZZZZZZ Suspend","",R12+(S12/100000)+(G12/1000000000))</f>
        <v>72.028020083000001</v>
      </c>
      <c r="D12">
        <f t="shared" si="1"/>
        <v>18</v>
      </c>
      <c r="E12" s="3" t="str">
        <f t="shared" si="9"/>
        <v>p</v>
      </c>
      <c r="F12">
        <f t="shared" si="10"/>
        <v>2</v>
      </c>
      <c r="G12">
        <v>83</v>
      </c>
      <c r="H12" t="str">
        <f>Data!A13</f>
        <v>Budgie</v>
      </c>
      <c r="I12" s="2" t="str">
        <f>Data!C13</f>
        <v>Raiders</v>
      </c>
      <c r="J12" s="2" t="str">
        <f>Data!D13</f>
        <v>Warriors</v>
      </c>
      <c r="K12" s="2" t="str">
        <f>Data!E13</f>
        <v>Dolphins</v>
      </c>
      <c r="L12" s="2" t="str">
        <f>IF(Data!$S$3&lt;Engine!L$1,0,Data!F13)</f>
        <v>Storm</v>
      </c>
      <c r="M12" s="2" t="str">
        <f>IF(Data!$S$3&lt;Engine!M$1,0,Data!G13)</f>
        <v>Sharks</v>
      </c>
      <c r="N12" s="2" t="str">
        <f>IF(Data!$S$3&lt;Engine!N$1,0,Data!H13)</f>
        <v>Roosters</v>
      </c>
      <c r="O12" s="2" t="str">
        <f>IF(Data!$S$3&lt;Engine!O$1,0,Data!I13)</f>
        <v>Titans</v>
      </c>
      <c r="P12" s="2">
        <f>IF(Data!$S$3&lt;Engine!P$1,0,Data!J13)</f>
        <v>0</v>
      </c>
      <c r="Q12" s="11" t="str">
        <f>IF(Data!B13=1,Data!K13,"No Tips")</f>
        <v>Raiders</v>
      </c>
      <c r="R12" s="2">
        <f>Data!L13</f>
        <v>72</v>
      </c>
      <c r="S12" s="2">
        <f>Data!M13</f>
        <v>2802</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2</v>
      </c>
      <c r="V12" s="1">
        <f>IF(I12="","",IF(T12=Data!S$3,2,0))</f>
        <v>0</v>
      </c>
      <c r="W12" s="1">
        <f t="shared" si="11"/>
        <v>3</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16</v>
      </c>
      <c r="Y12">
        <f t="shared" si="4"/>
        <v>75</v>
      </c>
      <c r="Z12">
        <f t="shared" si="12"/>
        <v>2818</v>
      </c>
      <c r="AA12" s="111">
        <f t="shared" si="13"/>
        <v>75.028180083000009</v>
      </c>
      <c r="AB12">
        <f t="shared" si="6"/>
        <v>3</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16</v>
      </c>
      <c r="AF12">
        <f>IF(I12="","",IF(Q12="",0,IF(AND(Q12&gt;0,COUNTIF('Stats Calculator'!$T$24:$AA$24,Q12)=1),HLOOKUP(Q12,'Stats Calculator'!$T$24:$AA$27,4,FALSE),IF(AND(Q12&gt;0,COUNTIF('Stats Calculator'!$T$25:$AA$25,Q12)=1),HLOOKUP(Q12,'Stats Calculator'!$T$25:$AA$27,3,FALSE)))))</f>
        <v>1</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2</v>
      </c>
      <c r="AI12">
        <f>IF(I12="","",Data!S$3-COUNTA('Stats Calculator'!E$31:E$38))</f>
        <v>6</v>
      </c>
      <c r="AJ12">
        <f>IF(I12="","",IF(AF12=0,0,IF(VLOOKUP(AF12,'Stats Calculator'!B$31:E$38,4,FALSE)&gt;0,0,2)))</f>
        <v>0</v>
      </c>
      <c r="AK12">
        <f>IF(I12="","",IF(Data!S$3-Engine!AI12=AG12,2,0))</f>
        <v>2</v>
      </c>
      <c r="AL12">
        <f t="shared" si="14"/>
        <v>11</v>
      </c>
    </row>
    <row r="13" spans="1:38" x14ac:dyDescent="0.35">
      <c r="A13">
        <v>12</v>
      </c>
      <c r="B13">
        <f t="shared" si="0"/>
        <v>30</v>
      </c>
      <c r="C13" s="111">
        <f t="shared" si="8"/>
        <v>69.027950082000004</v>
      </c>
      <c r="D13">
        <f t="shared" si="1"/>
        <v>26</v>
      </c>
      <c r="E13" s="3" t="str">
        <f t="shared" si="9"/>
        <v>p</v>
      </c>
      <c r="F13">
        <f t="shared" si="10"/>
        <v>4</v>
      </c>
      <c r="G13">
        <v>82</v>
      </c>
      <c r="H13" t="str">
        <f>Data!A14</f>
        <v>Carlos</v>
      </c>
      <c r="I13" s="2" t="str">
        <f>Data!C14</f>
        <v>Raiders</v>
      </c>
      <c r="J13" s="2" t="str">
        <f>Data!D14</f>
        <v>Warriors</v>
      </c>
      <c r="K13" s="2" t="str">
        <f>Data!E14</f>
        <v>Dolphins</v>
      </c>
      <c r="L13" s="2" t="str">
        <f>IF(Data!$S$3&lt;Engine!L$1,0,Data!F14)</f>
        <v>Storm</v>
      </c>
      <c r="M13" s="2" t="str">
        <f>IF(Data!$S$3&lt;Engine!M$1,0,Data!G14)</f>
        <v>Sharks</v>
      </c>
      <c r="N13" s="2" t="str">
        <f>IF(Data!$S$3&lt;Engine!N$1,0,Data!H14)</f>
        <v>Roosters</v>
      </c>
      <c r="O13" s="2" t="str">
        <f>IF(Data!$S$3&lt;Engine!O$1,0,Data!I14)</f>
        <v>Eels</v>
      </c>
      <c r="P13" s="2">
        <f>IF(Data!$S$3&lt;Engine!P$1,0,Data!J14)</f>
        <v>0</v>
      </c>
      <c r="Q13" s="11" t="str">
        <f>IF(Data!B14=1,Data!K14,"No Tips")</f>
        <v>Raiders</v>
      </c>
      <c r="R13" s="2">
        <f>Data!L14</f>
        <v>69</v>
      </c>
      <c r="S13" s="2">
        <f>Data!M14</f>
        <v>2795</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2</v>
      </c>
      <c r="V13" s="1">
        <f>IF(I13="","",IF(T13=Data!S$3,2,0))</f>
        <v>0</v>
      </c>
      <c r="W13" s="1">
        <f t="shared" si="11"/>
        <v>3</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16</v>
      </c>
      <c r="Y13">
        <f t="shared" si="4"/>
        <v>72</v>
      </c>
      <c r="Z13">
        <f t="shared" si="12"/>
        <v>2811</v>
      </c>
      <c r="AA13" s="111">
        <f t="shared" si="13"/>
        <v>72.028110081999998</v>
      </c>
      <c r="AB13">
        <f t="shared" si="6"/>
        <v>3</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16</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2</v>
      </c>
      <c r="AI13">
        <f>IF(I13="","",Data!S$3-COUNTA('Stats Calculator'!E$31:E$38))</f>
        <v>6</v>
      </c>
      <c r="AJ13">
        <f>IF(I13="","",IF(AF13=0,0,IF(VLOOKUP(AF13,'Stats Calculator'!B$31:E$38,4,FALSE)&gt;0,0,2)))</f>
        <v>0</v>
      </c>
      <c r="AK13">
        <f>IF(I13="","",IF(Data!S$3-Engine!AI13=AG13,2,0))</f>
        <v>2</v>
      </c>
      <c r="AL13">
        <f t="shared" si="14"/>
        <v>11</v>
      </c>
    </row>
    <row r="14" spans="1:38" x14ac:dyDescent="0.35">
      <c r="A14">
        <v>13</v>
      </c>
      <c r="B14">
        <f t="shared" si="0"/>
        <v>41</v>
      </c>
      <c r="C14" s="111">
        <f t="shared" si="8"/>
        <v>61.027870081000003</v>
      </c>
      <c r="D14">
        <f t="shared" si="1"/>
        <v>38</v>
      </c>
      <c r="E14" s="3" t="str">
        <f t="shared" si="9"/>
        <v>p</v>
      </c>
      <c r="F14">
        <f t="shared" si="10"/>
        <v>3</v>
      </c>
      <c r="G14">
        <v>81</v>
      </c>
      <c r="H14" t="str">
        <f>Data!A15</f>
        <v>Chunka</v>
      </c>
      <c r="I14" s="2" t="str">
        <f>Data!C15</f>
        <v>Raiders</v>
      </c>
      <c r="J14" s="2" t="str">
        <f>Data!D15</f>
        <v>Warriors</v>
      </c>
      <c r="K14" s="2" t="str">
        <f>Data!E15</f>
        <v>Dolphins</v>
      </c>
      <c r="L14" s="2" t="str">
        <f>IF(Data!$S$3&lt;Engine!L$1,0,Data!F15)</f>
        <v>Storm</v>
      </c>
      <c r="M14" s="2" t="str">
        <f>IF(Data!$S$3&lt;Engine!M$1,0,Data!G15)</f>
        <v>Broncos</v>
      </c>
      <c r="N14" s="2" t="str">
        <f>IF(Data!$S$3&lt;Engine!N$1,0,Data!H15)</f>
        <v>Roosters</v>
      </c>
      <c r="O14" s="2" t="str">
        <f>IF(Data!$S$3&lt;Engine!O$1,0,Data!I15)</f>
        <v>Titans</v>
      </c>
      <c r="P14" s="2">
        <f>IF(Data!$S$3&lt;Engine!P$1,0,Data!J15)</f>
        <v>0</v>
      </c>
      <c r="Q14" s="11" t="str">
        <f>IF(Data!B15=1,Data!K15,"No Tips")</f>
        <v>Raiders</v>
      </c>
      <c r="R14" s="2">
        <f>Data!L15</f>
        <v>61</v>
      </c>
      <c r="S14" s="2">
        <f>Data!M15</f>
        <v>2787</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2</v>
      </c>
      <c r="V14" s="1">
        <f>IF(I14="","",IF(T14=Data!S$3,2,0))</f>
        <v>0</v>
      </c>
      <c r="W14" s="1">
        <f t="shared" si="11"/>
        <v>3</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16</v>
      </c>
      <c r="Y14">
        <f t="shared" si="4"/>
        <v>64</v>
      </c>
      <c r="Z14">
        <f t="shared" si="12"/>
        <v>2803</v>
      </c>
      <c r="AA14" s="111">
        <f t="shared" si="13"/>
        <v>64.028030080999997</v>
      </c>
      <c r="AB14">
        <f t="shared" si="6"/>
        <v>3</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16</v>
      </c>
      <c r="AF14">
        <f>IF(I14="","",IF(Q14="",0,IF(AND(Q14&gt;0,COUNTIF('Stats Calculator'!$T$24:$AA$24,Q14)=1),HLOOKUP(Q14,'Stats Calculator'!$T$24:$AA$27,4,FALSE),IF(AND(Q14&gt;0,COUNTIF('Stats Calculator'!$T$25:$AA$25,Q14)=1),HLOOKUP(Q14,'Stats Calculator'!$T$25:$AA$27,3,FALSE)))))</f>
        <v>1</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2</v>
      </c>
      <c r="AI14">
        <f>IF(I14="","",Data!S$3-COUNTA('Stats Calculator'!E$31:E$38))</f>
        <v>6</v>
      </c>
      <c r="AJ14">
        <f>IF(I14="","",IF(AF14=0,0,IF(VLOOKUP(AF14,'Stats Calculator'!B$31:E$38,4,FALSE)&gt;0,0,2)))</f>
        <v>0</v>
      </c>
      <c r="AK14">
        <f>IF(I14="","",IF(Data!S$3-Engine!AI14=AG14,2,0))</f>
        <v>2</v>
      </c>
      <c r="AL14">
        <f t="shared" si="14"/>
        <v>11</v>
      </c>
    </row>
    <row r="15" spans="1:38" x14ac:dyDescent="0.35">
      <c r="A15">
        <v>14</v>
      </c>
      <c r="B15">
        <f t="shared" si="0"/>
        <v>3</v>
      </c>
      <c r="C15" s="111">
        <f t="shared" si="8"/>
        <v>85.028010080000001</v>
      </c>
      <c r="D15">
        <f t="shared" si="1"/>
        <v>3</v>
      </c>
      <c r="E15" s="3" t="str">
        <f t="shared" si="9"/>
        <v>u</v>
      </c>
      <c r="F15" t="str">
        <f t="shared" si="10"/>
        <v/>
      </c>
      <c r="G15">
        <v>80</v>
      </c>
      <c r="H15" t="str">
        <f>Data!A16</f>
        <v>Craig Young's Love Child</v>
      </c>
      <c r="I15" s="2" t="str">
        <f>Data!C16</f>
        <v>Raiders</v>
      </c>
      <c r="J15" s="2" t="str">
        <f>Data!D16</f>
        <v>Warriors</v>
      </c>
      <c r="K15" s="2" t="str">
        <f>Data!E16</f>
        <v>Dolphins</v>
      </c>
      <c r="L15" s="2" t="str">
        <f>IF(Data!$S$3&lt;Engine!L$1,0,Data!F16)</f>
        <v>Storm</v>
      </c>
      <c r="M15" s="2" t="str">
        <f>IF(Data!$S$3&lt;Engine!M$1,0,Data!G16)</f>
        <v>Sharks</v>
      </c>
      <c r="N15" s="2" t="str">
        <f>IF(Data!$S$3&lt;Engine!N$1,0,Data!H16)</f>
        <v>Roosters</v>
      </c>
      <c r="O15" s="2" t="str">
        <f>IF(Data!$S$3&lt;Engine!O$1,0,Data!I16)</f>
        <v>Titans</v>
      </c>
      <c r="P15" s="2">
        <f>IF(Data!$S$3&lt;Engine!P$1,0,Data!J16)</f>
        <v>0</v>
      </c>
      <c r="Q15" s="11" t="str">
        <f>IF(Data!B16=1,Data!K16,"No Tips")</f>
        <v>Dolphins</v>
      </c>
      <c r="R15" s="2">
        <f>Data!L16</f>
        <v>85</v>
      </c>
      <c r="S15" s="2">
        <f>Data!M16</f>
        <v>2801</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16</v>
      </c>
      <c r="Y15">
        <f t="shared" si="4"/>
        <v>86</v>
      </c>
      <c r="Z15">
        <f t="shared" si="12"/>
        <v>2817</v>
      </c>
      <c r="AA15" s="111">
        <f t="shared" si="13"/>
        <v>86.02817008000001</v>
      </c>
      <c r="AB15">
        <f t="shared" si="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16</v>
      </c>
      <c r="AF15">
        <f>IF(I15="","",IF(Q15="",0,IF(AND(Q15&gt;0,COUNTIF('Stats Calculator'!$T$24:$AA$24,Q15)=1),HLOOKUP(Q15,'Stats Calculator'!$T$24:$AA$27,4,FALSE),IF(AND(Q15&gt;0,COUNTIF('Stats Calculator'!$T$25:$AA$25,Q15)=1),HLOOKUP(Q15,'Stats Calculator'!$T$25:$AA$27,3,FALSE)))))</f>
        <v>3</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6</v>
      </c>
      <c r="AJ15">
        <f>IF(I15="","",IF(AF15=0,0,IF(VLOOKUP(AF15,'Stats Calculator'!B$31:E$38,4,FALSE)&gt;0,0,2)))</f>
        <v>2</v>
      </c>
      <c r="AK15">
        <f>IF(I15="","",IF(Data!S$3-Engine!AI15=AG15,2,0))</f>
        <v>2</v>
      </c>
      <c r="AL15">
        <f t="shared" si="14"/>
        <v>11</v>
      </c>
    </row>
    <row r="16" spans="1:38" x14ac:dyDescent="0.35">
      <c r="A16">
        <v>15</v>
      </c>
      <c r="B16">
        <f t="shared" si="0"/>
        <v>13</v>
      </c>
      <c r="C16" s="111">
        <f t="shared" si="8"/>
        <v>75.027370079000008</v>
      </c>
      <c r="D16">
        <f t="shared" si="1"/>
        <v>13</v>
      </c>
      <c r="E16" s="3" t="str">
        <f t="shared" si="9"/>
        <v>u</v>
      </c>
      <c r="F16" t="str">
        <f t="shared" si="10"/>
        <v/>
      </c>
      <c r="G16">
        <v>79</v>
      </c>
      <c r="H16" t="str">
        <f>Data!A17</f>
        <v>Cruella</v>
      </c>
      <c r="I16" s="2" t="str">
        <f>Data!C17</f>
        <v>Raiders</v>
      </c>
      <c r="J16" s="2" t="str">
        <f>Data!D17</f>
        <v>Warriors</v>
      </c>
      <c r="K16" s="2" t="str">
        <f>Data!E17</f>
        <v>Dolphins</v>
      </c>
      <c r="L16" s="2" t="str">
        <f>IF(Data!$S$3&lt;Engine!L$1,0,Data!F17)</f>
        <v>Storm</v>
      </c>
      <c r="M16" s="2" t="str">
        <f>IF(Data!$S$3&lt;Engine!M$1,0,Data!G17)</f>
        <v>Broncos</v>
      </c>
      <c r="N16" s="2" t="str">
        <f>IF(Data!$S$3&lt;Engine!N$1,0,Data!H17)</f>
        <v>Roosters</v>
      </c>
      <c r="O16" s="2" t="str">
        <f>IF(Data!$S$3&lt;Engine!O$1,0,Data!I17)</f>
        <v>Titans</v>
      </c>
      <c r="P16" s="2">
        <f>IF(Data!$S$3&lt;Engine!P$1,0,Data!J17)</f>
        <v>0</v>
      </c>
      <c r="Q16" s="11" t="str">
        <f>IF(Data!B17=1,Data!K17,"No Tips")</f>
        <v>Raiders</v>
      </c>
      <c r="R16" s="2">
        <f>Data!L17</f>
        <v>75</v>
      </c>
      <c r="S16" s="2">
        <f>Data!M17</f>
        <v>2737</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2</v>
      </c>
      <c r="V16" s="1">
        <f>IF(I16="","",IF(T16=Data!S$3,2,0))</f>
        <v>0</v>
      </c>
      <c r="W16" s="1">
        <f t="shared" si="11"/>
        <v>3</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16</v>
      </c>
      <c r="Y16">
        <f>IF(H16="ZZZZZZ Suspend","",R16+W16)</f>
        <v>78</v>
      </c>
      <c r="Z16">
        <f t="shared" si="12"/>
        <v>2753</v>
      </c>
      <c r="AA16" s="111">
        <f t="shared" si="13"/>
        <v>78.027530079000002</v>
      </c>
      <c r="AB16">
        <f t="shared" si="6"/>
        <v>3</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16</v>
      </c>
      <c r="AF16">
        <f>IF(I16="","",IF(Q16="",0,IF(AND(Q16&gt;0,COUNTIF('Stats Calculator'!$T$24:$AA$24,Q16)=1),HLOOKUP(Q16,'Stats Calculator'!$T$24:$AA$27,4,FALSE),IF(AND(Q16&gt;0,COUNTIF('Stats Calculator'!$T$25:$AA$25,Q16)=1),HLOOKUP(Q16,'Stats Calculator'!$T$25:$AA$27,3,FALSE)))))</f>
        <v>1</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2</v>
      </c>
      <c r="AI16">
        <f>IF(I16="","",Data!S$3-COUNTA('Stats Calculator'!E$31:E$38))</f>
        <v>6</v>
      </c>
      <c r="AJ16">
        <f>IF(I16="","",IF(AF16=0,0,IF(VLOOKUP(AF16,'Stats Calculator'!B$31:E$38,4,FALSE)&gt;0,0,2)))</f>
        <v>0</v>
      </c>
      <c r="AK16">
        <f>IF(I16="","",IF(Data!S$3-Engine!AI16=AG16,2,0))</f>
        <v>2</v>
      </c>
      <c r="AL16">
        <f t="shared" si="14"/>
        <v>11</v>
      </c>
    </row>
    <row r="17" spans="1:38" x14ac:dyDescent="0.35">
      <c r="A17">
        <v>16</v>
      </c>
      <c r="B17">
        <f t="shared" si="0"/>
        <v>32</v>
      </c>
      <c r="C17" s="111">
        <f t="shared" si="8"/>
        <v>67.028130078000004</v>
      </c>
      <c r="D17">
        <f t="shared" si="1"/>
        <v>30</v>
      </c>
      <c r="E17" s="3" t="str">
        <f t="shared" si="9"/>
        <v>p</v>
      </c>
      <c r="F17">
        <f t="shared" si="10"/>
        <v>2</v>
      </c>
      <c r="G17">
        <v>78</v>
      </c>
      <c r="H17" t="str">
        <f>Data!A18</f>
        <v>Fouad Khochaiche</v>
      </c>
      <c r="I17" s="2" t="str">
        <f>Data!C18</f>
        <v>Raiders</v>
      </c>
      <c r="J17" s="2" t="str">
        <f>Data!D18</f>
        <v>Warriors</v>
      </c>
      <c r="K17" s="2" t="str">
        <f>Data!E18</f>
        <v>Dolphins</v>
      </c>
      <c r="L17" s="2" t="str">
        <f>IF(Data!$S$3&lt;Engine!L$1,0,Data!F18)</f>
        <v>Storm</v>
      </c>
      <c r="M17" s="2" t="str">
        <f>IF(Data!$S$3&lt;Engine!M$1,0,Data!G18)</f>
        <v>Broncos</v>
      </c>
      <c r="N17" s="2" t="str">
        <f>IF(Data!$S$3&lt;Engine!N$1,0,Data!H18)</f>
        <v>Roosters</v>
      </c>
      <c r="O17" s="2" t="str">
        <f>IF(Data!$S$3&lt;Engine!O$1,0,Data!I18)</f>
        <v>Titans</v>
      </c>
      <c r="P17" s="2">
        <f>IF(Data!$S$3&lt;Engine!P$1,0,Data!J18)</f>
        <v>0</v>
      </c>
      <c r="Q17" s="11" t="str">
        <f>IF(Data!B18=1,Data!K18,"No Tips")</f>
        <v>Raiders</v>
      </c>
      <c r="R17" s="2">
        <f>Data!L18</f>
        <v>67</v>
      </c>
      <c r="S17" s="2">
        <f>Data!M18</f>
        <v>2813</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2</v>
      </c>
      <c r="V17" s="1">
        <f>IF(I17="","",IF(T17=Data!S$3,2,0))</f>
        <v>0</v>
      </c>
      <c r="W17" s="1">
        <f t="shared" si="11"/>
        <v>3</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16</v>
      </c>
      <c r="Y17">
        <f t="shared" ref="Y17:Y80" si="15">IF(H17="ZZZZZZ Suspend","",R17+W17)</f>
        <v>70</v>
      </c>
      <c r="Z17">
        <f t="shared" si="12"/>
        <v>2829</v>
      </c>
      <c r="AA17" s="111">
        <f t="shared" si="13"/>
        <v>70.028290077999998</v>
      </c>
      <c r="AB17">
        <f t="shared" si="6"/>
        <v>3</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16</v>
      </c>
      <c r="AD17" s="10"/>
      <c r="AE17" s="10"/>
      <c r="AF17">
        <f>IF(I17="","",IF(Q17="",0,IF(AND(Q17&gt;0,COUNTIF('Stats Calculator'!$T$24:$AA$24,Q17)=1),HLOOKUP(Q17,'Stats Calculator'!$T$24:$AA$27,4,FALSE),IF(AND(Q17&gt;0,COUNTIF('Stats Calculator'!$T$25:$AA$25,Q17)=1),HLOOKUP(Q17,'Stats Calculator'!$T$25:$AA$27,3,FALSE)))))</f>
        <v>1</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2</v>
      </c>
      <c r="AI17">
        <f>IF(I17="","",Data!S$3-COUNTA('Stats Calculator'!E$31:E$38))</f>
        <v>6</v>
      </c>
      <c r="AJ17">
        <f>IF(I17="","",IF(AF17=0,0,IF(VLOOKUP(AF17,'Stats Calculator'!B$31:E$38,4,FALSE)&gt;0,0,2)))</f>
        <v>0</v>
      </c>
      <c r="AK17">
        <f>IF(I17="","",IF(Data!S$3-Engine!AI17=AG17,2,0))</f>
        <v>2</v>
      </c>
      <c r="AL17">
        <f t="shared" si="14"/>
        <v>11</v>
      </c>
    </row>
    <row r="18" spans="1:38" x14ac:dyDescent="0.35">
      <c r="A18">
        <v>17</v>
      </c>
      <c r="B18">
        <f t="shared" si="0"/>
        <v>5</v>
      </c>
      <c r="C18" s="111">
        <f t="shared" si="8"/>
        <v>82.028070076999995</v>
      </c>
      <c r="D18">
        <f t="shared" si="1"/>
        <v>4</v>
      </c>
      <c r="E18" s="3" t="str">
        <f t="shared" si="9"/>
        <v>p</v>
      </c>
      <c r="F18">
        <f t="shared" si="10"/>
        <v>1</v>
      </c>
      <c r="G18">
        <v>77</v>
      </c>
      <c r="H18" t="str">
        <f>Data!A19</f>
        <v>gdadisho</v>
      </c>
      <c r="I18" s="2" t="str">
        <f>Data!C19</f>
        <v>Raiders</v>
      </c>
      <c r="J18" s="2" t="str">
        <f>Data!D19</f>
        <v>Warriors</v>
      </c>
      <c r="K18" s="2" t="str">
        <f>Data!E19</f>
        <v>Dolphins</v>
      </c>
      <c r="L18" s="2" t="str">
        <f>IF(Data!$S$3&lt;Engine!L$1,0,Data!F19)</f>
        <v>Storm</v>
      </c>
      <c r="M18" s="2" t="str">
        <f>IF(Data!$S$3&lt;Engine!M$1,0,Data!G19)</f>
        <v>Broncos</v>
      </c>
      <c r="N18" s="2" t="str">
        <f>IF(Data!$S$3&lt;Engine!N$1,0,Data!H19)</f>
        <v>Roosters</v>
      </c>
      <c r="O18" s="2" t="str">
        <f>IF(Data!$S$3&lt;Engine!O$1,0,Data!I19)</f>
        <v>Titans</v>
      </c>
      <c r="P18" s="2">
        <f>IF(Data!$S$3&lt;Engine!P$1,0,Data!J19)</f>
        <v>0</v>
      </c>
      <c r="Q18" s="11" t="str">
        <f>IF(Data!B19=1,Data!K19,"No Tips")</f>
        <v>Raiders</v>
      </c>
      <c r="R18" s="2">
        <f>Data!L19</f>
        <v>82</v>
      </c>
      <c r="S18" s="2">
        <f>Data!M19</f>
        <v>2807</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2</v>
      </c>
      <c r="V18" s="1">
        <f>IF(I18="","",IF(T18=Data!S$3,2,0))</f>
        <v>0</v>
      </c>
      <c r="W18" s="1">
        <f t="shared" si="11"/>
        <v>3</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16</v>
      </c>
      <c r="Y18">
        <f t="shared" si="15"/>
        <v>85</v>
      </c>
      <c r="Z18">
        <f t="shared" si="12"/>
        <v>2823</v>
      </c>
      <c r="AA18" s="111">
        <f t="shared" si="13"/>
        <v>85.028230076999989</v>
      </c>
      <c r="AB18">
        <f t="shared" si="6"/>
        <v>3</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16</v>
      </c>
      <c r="AF18">
        <f>IF(I18="","",IF(Q18="",0,IF(AND(Q18&gt;0,COUNTIF('Stats Calculator'!$T$24:$AA$24,Q18)=1),HLOOKUP(Q18,'Stats Calculator'!$T$24:$AA$27,4,FALSE),IF(AND(Q18&gt;0,COUNTIF('Stats Calculator'!$T$25:$AA$25,Q18)=1),HLOOKUP(Q18,'Stats Calculator'!$T$25:$AA$27,3,FALSE)))))</f>
        <v>1</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2</v>
      </c>
      <c r="AI18">
        <f>IF(I18="","",Data!S$3-COUNTA('Stats Calculator'!E$31:E$38))</f>
        <v>6</v>
      </c>
      <c r="AJ18">
        <f>IF(I18="","",IF(AF18=0,0,IF(VLOOKUP(AF18,'Stats Calculator'!B$31:E$38,4,FALSE)&gt;0,0,2)))</f>
        <v>0</v>
      </c>
      <c r="AK18">
        <f>IF(I18="","",IF(Data!S$3-Engine!AI18=AG18,2,0))</f>
        <v>2</v>
      </c>
      <c r="AL18">
        <f t="shared" si="14"/>
        <v>11</v>
      </c>
    </row>
    <row r="19" spans="1:38" x14ac:dyDescent="0.35">
      <c r="A19">
        <v>18</v>
      </c>
      <c r="B19">
        <f t="shared" si="0"/>
        <v>38</v>
      </c>
      <c r="C19" s="111">
        <f t="shared" si="8"/>
        <v>63.027030076000003</v>
      </c>
      <c r="D19">
        <f t="shared" si="1"/>
        <v>39</v>
      </c>
      <c r="E19" s="3" t="str">
        <f t="shared" si="9"/>
        <v>q</v>
      </c>
      <c r="F19">
        <f t="shared" si="10"/>
        <v>1</v>
      </c>
      <c r="G19">
        <v>76</v>
      </c>
      <c r="H19" t="str">
        <f>Data!A20</f>
        <v>GeorgeTheDragon</v>
      </c>
      <c r="I19" s="2" t="str">
        <f>Data!C20</f>
        <v>Raiders</v>
      </c>
      <c r="J19" s="2" t="str">
        <f>Data!D20</f>
        <v>Warriors</v>
      </c>
      <c r="K19" s="2" t="str">
        <f>Data!E20</f>
        <v>Dolphins</v>
      </c>
      <c r="L19" s="2" t="str">
        <f>IF(Data!$S$3&lt;Engine!L$1,0,Data!F20)</f>
        <v>Storm</v>
      </c>
      <c r="M19" s="2" t="str">
        <f>IF(Data!$S$3&lt;Engine!M$1,0,Data!G20)</f>
        <v>Sharks</v>
      </c>
      <c r="N19" s="2" t="str">
        <f>IF(Data!$S$3&lt;Engine!N$1,0,Data!H20)</f>
        <v>Roosters</v>
      </c>
      <c r="O19" s="2" t="str">
        <f>IF(Data!$S$3&lt;Engine!O$1,0,Data!I20)</f>
        <v>Eels</v>
      </c>
      <c r="P19" s="2">
        <f>IF(Data!$S$3&lt;Engine!P$1,0,Data!J20)</f>
        <v>0</v>
      </c>
      <c r="Q19" s="11" t="str">
        <f>IF(Data!B20=1,Data!K20,"No Tips")</f>
        <v>Warriors</v>
      </c>
      <c r="R19" s="2">
        <f>Data!L20</f>
        <v>63</v>
      </c>
      <c r="S19" s="2">
        <f>Data!M20</f>
        <v>2703</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0</v>
      </c>
      <c r="V19" s="1">
        <f>IF(I19="","",IF(T19=Data!S$3,2,0))</f>
        <v>0</v>
      </c>
      <c r="W19" s="1">
        <f t="shared" si="11"/>
        <v>1</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16</v>
      </c>
      <c r="Y19">
        <f t="shared" si="15"/>
        <v>64</v>
      </c>
      <c r="Z19">
        <f t="shared" si="12"/>
        <v>2719</v>
      </c>
      <c r="AA19" s="111">
        <f t="shared" si="13"/>
        <v>64.027190076000011</v>
      </c>
      <c r="AB19">
        <f t="shared" si="6"/>
        <v>1</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16</v>
      </c>
      <c r="AF19">
        <f>IF(I19="","",IF(Q19="",0,IF(AND(Q19&gt;0,COUNTIF('Stats Calculator'!$T$24:$AA$24,Q19)=1),HLOOKUP(Q19,'Stats Calculator'!$T$24:$AA$27,4,FALSE),IF(AND(Q19&gt;0,COUNTIF('Stats Calculator'!$T$25:$AA$25,Q19)=1),HLOOKUP(Q19,'Stats Calculator'!$T$25:$AA$27,3,FALSE)))))</f>
        <v>2</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0</v>
      </c>
      <c r="AI19">
        <f>IF(I19="","",Data!S$3-COUNTA('Stats Calculator'!E$31:E$38))</f>
        <v>6</v>
      </c>
      <c r="AJ19">
        <f>IF(I19="","",IF(AF19=0,0,IF(VLOOKUP(AF19,'Stats Calculator'!B$31:E$38,4,FALSE)&gt;0,0,2)))</f>
        <v>2</v>
      </c>
      <c r="AK19">
        <f>IF(I19="","",IF(Data!S$3-Engine!AI19=AG19,2,0))</f>
        <v>2</v>
      </c>
      <c r="AL19">
        <f t="shared" si="14"/>
        <v>11</v>
      </c>
    </row>
    <row r="20" spans="1:38" x14ac:dyDescent="0.35">
      <c r="A20">
        <v>19</v>
      </c>
      <c r="B20">
        <f t="shared" si="0"/>
        <v>17</v>
      </c>
      <c r="C20" s="111">
        <f t="shared" si="8"/>
        <v>73.027980075000002</v>
      </c>
      <c r="D20">
        <f t="shared" si="1"/>
        <v>16</v>
      </c>
      <c r="E20" s="3" t="str">
        <f t="shared" si="9"/>
        <v>p</v>
      </c>
      <c r="F20">
        <f t="shared" si="10"/>
        <v>1</v>
      </c>
      <c r="G20">
        <v>75</v>
      </c>
      <c r="H20" t="str">
        <f>Data!A21</f>
        <v>Guru2810</v>
      </c>
      <c r="I20" s="2" t="str">
        <f>Data!C21</f>
        <v>Raiders</v>
      </c>
      <c r="J20" s="2" t="str">
        <f>Data!D21</f>
        <v>Warriors</v>
      </c>
      <c r="K20" s="2" t="str">
        <f>Data!E21</f>
        <v>Dolphins</v>
      </c>
      <c r="L20" s="2" t="str">
        <f>IF(Data!$S$3&lt;Engine!L$1,0,Data!F21)</f>
        <v>Storm</v>
      </c>
      <c r="M20" s="2" t="str">
        <f>IF(Data!$S$3&lt;Engine!M$1,0,Data!G21)</f>
        <v>Broncos</v>
      </c>
      <c r="N20" s="2" t="str">
        <f>IF(Data!$S$3&lt;Engine!N$1,0,Data!H21)</f>
        <v>Roosters</v>
      </c>
      <c r="O20" s="2" t="str">
        <f>IF(Data!$S$3&lt;Engine!O$1,0,Data!I21)</f>
        <v>Titans</v>
      </c>
      <c r="P20" s="2">
        <f>IF(Data!$S$3&lt;Engine!P$1,0,Data!J21)</f>
        <v>0</v>
      </c>
      <c r="Q20" s="11" t="str">
        <f>IF(Data!B21=1,Data!K21,"No Tips")</f>
        <v>Raiders</v>
      </c>
      <c r="R20" s="2">
        <f>Data!L21</f>
        <v>73</v>
      </c>
      <c r="S20" s="2">
        <f>Data!M21</f>
        <v>2798</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2</v>
      </c>
      <c r="V20" s="1">
        <f>IF(I20="","",IF(T20=Data!S$3,2,0))</f>
        <v>0</v>
      </c>
      <c r="W20" s="1">
        <f t="shared" si="11"/>
        <v>3</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16</v>
      </c>
      <c r="Y20">
        <f t="shared" si="15"/>
        <v>76</v>
      </c>
      <c r="Z20">
        <f t="shared" si="12"/>
        <v>2814</v>
      </c>
      <c r="AA20" s="111">
        <f t="shared" si="13"/>
        <v>76.028140074999996</v>
      </c>
      <c r="AB20">
        <f t="shared" si="6"/>
        <v>3</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16</v>
      </c>
      <c r="AF20">
        <f>IF(I20="","",IF(Q20="",0,IF(AND(Q20&gt;0,COUNTIF('Stats Calculator'!$T$24:$AA$24,Q20)=1),HLOOKUP(Q20,'Stats Calculator'!$T$24:$AA$27,4,FALSE),IF(AND(Q20&gt;0,COUNTIF('Stats Calculator'!$T$25:$AA$25,Q20)=1),HLOOKUP(Q20,'Stats Calculator'!$T$25:$AA$27,3,FALSE)))))</f>
        <v>1</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2</v>
      </c>
      <c r="AI20">
        <f>IF(I20="","",Data!S$3-COUNTA('Stats Calculator'!E$31:E$38))</f>
        <v>6</v>
      </c>
      <c r="AJ20">
        <f>IF(I20="","",IF(AF20=0,0,IF(VLOOKUP(AF20,'Stats Calculator'!B$31:E$38,4,FALSE)&gt;0,0,2)))</f>
        <v>0</v>
      </c>
      <c r="AK20">
        <f>IF(I20="","",IF(Data!S$3-Engine!AI20=AG20,2,0))</f>
        <v>2</v>
      </c>
      <c r="AL20">
        <f t="shared" si="14"/>
        <v>11</v>
      </c>
    </row>
    <row r="21" spans="1:38" x14ac:dyDescent="0.35">
      <c r="A21">
        <v>20</v>
      </c>
      <c r="B21">
        <f t="shared" si="0"/>
        <v>40</v>
      </c>
      <c r="C21" s="111">
        <f t="shared" si="8"/>
        <v>61.028170074000002</v>
      </c>
      <c r="D21">
        <f t="shared" si="1"/>
        <v>43</v>
      </c>
      <c r="E21" s="3" t="str">
        <f t="shared" si="9"/>
        <v>q</v>
      </c>
      <c r="F21">
        <f t="shared" si="10"/>
        <v>3</v>
      </c>
      <c r="G21">
        <v>74</v>
      </c>
      <c r="H21" t="str">
        <f>Data!A22</f>
        <v>I miss Benji</v>
      </c>
      <c r="I21" s="2" t="str">
        <f>Data!C22</f>
        <v>Raiders</v>
      </c>
      <c r="J21" s="2" t="str">
        <f>Data!D22</f>
        <v>Warriors</v>
      </c>
      <c r="K21" s="2" t="str">
        <f>Data!E22</f>
        <v>Dolphins</v>
      </c>
      <c r="L21" s="2" t="str">
        <f>IF(Data!$S$3&lt;Engine!L$1,0,Data!F22)</f>
        <v>Storm</v>
      </c>
      <c r="M21" s="2" t="str">
        <f>IF(Data!$S$3&lt;Engine!M$1,0,Data!G22)</f>
        <v>Broncos</v>
      </c>
      <c r="N21" s="2" t="str">
        <f>IF(Data!$S$3&lt;Engine!N$1,0,Data!H22)</f>
        <v>Roosters</v>
      </c>
      <c r="O21" s="2" t="str">
        <f>IF(Data!$S$3&lt;Engine!O$1,0,Data!I22)</f>
        <v>Eels</v>
      </c>
      <c r="P21" s="2">
        <f>IF(Data!$S$3&lt;Engine!P$1,0,Data!J22)</f>
        <v>0</v>
      </c>
      <c r="Q21" s="11" t="str">
        <f>IF(Data!B22=1,Data!K22,"No Tips")</f>
        <v>Dolphins</v>
      </c>
      <c r="R21" s="2">
        <f>Data!L22</f>
        <v>61</v>
      </c>
      <c r="S21" s="2">
        <f>Data!M22</f>
        <v>2817</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0</v>
      </c>
      <c r="V21" s="1">
        <f>IF(I21="","",IF(T21=Data!S$3,2,0))</f>
        <v>0</v>
      </c>
      <c r="W21" s="1">
        <f t="shared" si="11"/>
        <v>1</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16</v>
      </c>
      <c r="Y21">
        <f t="shared" si="15"/>
        <v>62</v>
      </c>
      <c r="Z21">
        <f t="shared" si="12"/>
        <v>2833</v>
      </c>
      <c r="AA21" s="111">
        <f t="shared" si="13"/>
        <v>62.028330073999996</v>
      </c>
      <c r="AB21">
        <f t="shared" si="6"/>
        <v>1</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16</v>
      </c>
      <c r="AF21">
        <f>IF(I21="","",IF(Q21="",0,IF(AND(Q21&gt;0,COUNTIF('Stats Calculator'!$T$24:$AA$24,Q21)=1),HLOOKUP(Q21,'Stats Calculator'!$T$24:$AA$27,4,FALSE),IF(AND(Q21&gt;0,COUNTIF('Stats Calculator'!$T$25:$AA$25,Q21)=1),HLOOKUP(Q21,'Stats Calculator'!$T$25:$AA$27,3,FALSE)))))</f>
        <v>3</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0</v>
      </c>
      <c r="AI21">
        <f>IF(I21="","",Data!S$3-COUNTA('Stats Calculator'!E$31:E$38))</f>
        <v>6</v>
      </c>
      <c r="AJ21">
        <f>IF(I21="","",IF(AF21=0,0,IF(VLOOKUP(AF21,'Stats Calculator'!B$31:E$38,4,FALSE)&gt;0,0,2)))</f>
        <v>2</v>
      </c>
      <c r="AK21">
        <f>IF(I21="","",IF(Data!S$3-Engine!AI21=AG21,2,0))</f>
        <v>2</v>
      </c>
      <c r="AL21">
        <f t="shared" si="14"/>
        <v>11</v>
      </c>
    </row>
    <row r="22" spans="1:38" x14ac:dyDescent="0.35">
      <c r="A22">
        <v>21</v>
      </c>
      <c r="B22">
        <f t="shared" si="0"/>
        <v>53</v>
      </c>
      <c r="C22" s="111">
        <f t="shared" si="8"/>
        <v>47.026320073000001</v>
      </c>
      <c r="D22">
        <f t="shared" si="1"/>
        <v>52</v>
      </c>
      <c r="E22" s="3" t="str">
        <f t="shared" si="9"/>
        <v>p</v>
      </c>
      <c r="F22">
        <f t="shared" si="10"/>
        <v>1</v>
      </c>
      <c r="G22">
        <v>73</v>
      </c>
      <c r="H22" t="str">
        <f>Data!A23</f>
        <v>isha68</v>
      </c>
      <c r="I22" s="2" t="str">
        <f>Data!C23</f>
        <v>Raiders</v>
      </c>
      <c r="J22" s="2" t="str">
        <f>Data!D23</f>
        <v>Panthers</v>
      </c>
      <c r="K22" s="2" t="str">
        <f>Data!E23</f>
        <v>Dolphins</v>
      </c>
      <c r="L22" s="2" t="str">
        <f>IF(Data!$S$3&lt;Engine!L$1,0,Data!F23)</f>
        <v>Storm</v>
      </c>
      <c r="M22" s="2" t="str">
        <f>IF(Data!$S$3&lt;Engine!M$1,0,Data!G23)</f>
        <v>Sharks</v>
      </c>
      <c r="N22" s="2" t="str">
        <f>IF(Data!$S$3&lt;Engine!N$1,0,Data!H23)</f>
        <v>Roosters</v>
      </c>
      <c r="O22" s="2" t="str">
        <f>IF(Data!$S$3&lt;Engine!O$1,0,Data!I23)</f>
        <v>Eels</v>
      </c>
      <c r="P22" s="2">
        <f>IF(Data!$S$3&lt;Engine!P$1,0,Data!J23)</f>
        <v>0</v>
      </c>
      <c r="Q22" s="11" t="str">
        <f>IF(Data!B23=1,Data!K23,"No Tips")</f>
        <v>Raiders</v>
      </c>
      <c r="R22" s="2">
        <f>Data!L23</f>
        <v>47</v>
      </c>
      <c r="S22" s="2">
        <f>Data!M23</f>
        <v>2632</v>
      </c>
      <c r="T22" s="1">
        <f>IF(I22="","",COUNTIF('Live Ladder'!P:P,I22)+COUNTIF('Live Ladder'!P:P,J22)+COUNTIF('Live Ladder'!P:P,K22)+COUNTIF('Live Ladder'!P:P,L22)+COUNTIF('Live Ladder'!P:P,M22)+COUNTIF('Live Ladder'!P:P,N22)+COUNTIF('Live Ladder'!P:P,O22)+COUNTIF('Live Ladder'!P:P,P22))</f>
        <v>1</v>
      </c>
      <c r="U22" s="1">
        <f>IF(I22="","",IF(COUNTIF('Live Ladder'!P:P,Engine!Q22)=1,2,IF(COUNTIF('Live Ladder'!Q:Q,Engine!Q22)=1,-2,0)))</f>
        <v>2</v>
      </c>
      <c r="V22" s="1">
        <f>IF(I22="","",IF(T22=Data!S$3,2,0))</f>
        <v>0</v>
      </c>
      <c r="W22" s="1">
        <f t="shared" si="11"/>
        <v>3</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16</v>
      </c>
      <c r="Y22">
        <f t="shared" si="15"/>
        <v>50</v>
      </c>
      <c r="Z22">
        <f t="shared" si="12"/>
        <v>2648</v>
      </c>
      <c r="AA22" s="111">
        <f t="shared" si="13"/>
        <v>50.026480073000002</v>
      </c>
      <c r="AB22">
        <f t="shared" si="6"/>
        <v>3</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16</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1</v>
      </c>
      <c r="AH22">
        <f>IF(I22="","",IF(Q22="",0,IF(Q22=0,0,IF(VLOOKUP(Engine!AF22,'Stats Calculator'!B$31:E$38,4,FALSE)="",0,IF(VLOOKUP(Engine!AF22,'Stats Calculator'!B$31:E$38,4,FALSE)=Q22,2,-2)))))</f>
        <v>2</v>
      </c>
      <c r="AI22">
        <f>IF(I22="","",Data!S$3-COUNTA('Stats Calculator'!E$31:E$38))</f>
        <v>6</v>
      </c>
      <c r="AJ22">
        <f>IF(I22="","",IF(AF22=0,0,IF(VLOOKUP(AF22,'Stats Calculator'!B$31:E$38,4,FALSE)&gt;0,0,2)))</f>
        <v>0</v>
      </c>
      <c r="AK22">
        <f>IF(I22="","",IF(Data!S$3-Engine!AI22=AG22,2,0))</f>
        <v>2</v>
      </c>
      <c r="AL22">
        <f t="shared" si="14"/>
        <v>11</v>
      </c>
    </row>
    <row r="23" spans="1:38" x14ac:dyDescent="0.35">
      <c r="A23">
        <v>22</v>
      </c>
      <c r="B23">
        <f t="shared" si="0"/>
        <v>51</v>
      </c>
      <c r="C23" s="111">
        <f t="shared" si="8"/>
        <v>51.026330072</v>
      </c>
      <c r="D23">
        <f t="shared" si="1"/>
        <v>51</v>
      </c>
      <c r="E23" s="3" t="str">
        <f t="shared" si="9"/>
        <v>u</v>
      </c>
      <c r="F23" t="str">
        <f t="shared" si="10"/>
        <v/>
      </c>
      <c r="G23">
        <v>72</v>
      </c>
      <c r="H23" t="str">
        <f>Data!A24</f>
        <v>iTerry</v>
      </c>
      <c r="I23" s="2" t="str">
        <f>Data!C24</f>
        <v>Raiders</v>
      </c>
      <c r="J23" s="2" t="str">
        <f>Data!D24</f>
        <v>Panthers</v>
      </c>
      <c r="K23" s="2" t="str">
        <f>Data!E24</f>
        <v>Dolphins</v>
      </c>
      <c r="L23" s="2" t="str">
        <f>IF(Data!$S$3&lt;Engine!L$1,0,Data!F24)</f>
        <v>Storm</v>
      </c>
      <c r="M23" s="2" t="str">
        <f>IF(Data!$S$3&lt;Engine!M$1,0,Data!G24)</f>
        <v>Sharks</v>
      </c>
      <c r="N23" s="2" t="str">
        <f>IF(Data!$S$3&lt;Engine!N$1,0,Data!H24)</f>
        <v>Roosters</v>
      </c>
      <c r="O23" s="2" t="str">
        <f>IF(Data!$S$3&lt;Engine!O$1,0,Data!I24)</f>
        <v>Eels</v>
      </c>
      <c r="P23" s="2">
        <f>IF(Data!$S$3&lt;Engine!P$1,0,Data!J24)</f>
        <v>0</v>
      </c>
      <c r="Q23" s="11" t="str">
        <f>IF(Data!B24=1,Data!K24,"No Tips")</f>
        <v>Roosters</v>
      </c>
      <c r="R23" s="2">
        <f>Data!L24</f>
        <v>51</v>
      </c>
      <c r="S23" s="2">
        <f>Data!M24</f>
        <v>2633</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16</v>
      </c>
      <c r="Y23">
        <f t="shared" si="15"/>
        <v>52</v>
      </c>
      <c r="Z23">
        <f t="shared" si="12"/>
        <v>2649</v>
      </c>
      <c r="AA23" s="111">
        <f t="shared" si="13"/>
        <v>52.026490072000001</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16</v>
      </c>
      <c r="AF23">
        <f>IF(I23="","",IF(Q23="",0,IF(AND(Q23&gt;0,COUNTIF('Stats Calculator'!$T$24:$AA$24,Q23)=1),HLOOKUP(Q23,'Stats Calculator'!$T$24:$AA$27,4,FALSE),IF(AND(Q23&gt;0,COUNTIF('Stats Calculator'!$T$25:$AA$25,Q23)=1),HLOOKUP(Q23,'Stats Calculator'!$T$25:$AA$27,3,FALSE)))))</f>
        <v>6</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6</v>
      </c>
      <c r="AJ23">
        <f>IF(I23="","",IF(AF23=0,0,IF(VLOOKUP(AF23,'Stats Calculator'!B$31:E$38,4,FALSE)&gt;0,0,2)))</f>
        <v>2</v>
      </c>
      <c r="AK23">
        <f>IF(I23="","",IF(Data!S$3-Engine!AI23=AG23,2,0))</f>
        <v>2</v>
      </c>
      <c r="AL23">
        <f t="shared" si="14"/>
        <v>11</v>
      </c>
    </row>
    <row r="24" spans="1:38" x14ac:dyDescent="0.35">
      <c r="A24">
        <v>23</v>
      </c>
      <c r="B24">
        <f t="shared" si="0"/>
        <v>42</v>
      </c>
      <c r="C24" s="111">
        <f t="shared" si="8"/>
        <v>60.026450070999999</v>
      </c>
      <c r="D24">
        <f t="shared" si="1"/>
        <v>41</v>
      </c>
      <c r="E24" s="3" t="str">
        <f t="shared" si="9"/>
        <v>p</v>
      </c>
      <c r="F24">
        <f t="shared" si="10"/>
        <v>1</v>
      </c>
      <c r="G24">
        <v>71</v>
      </c>
      <c r="H24" t="str">
        <f>Data!A25</f>
        <v>Krusty</v>
      </c>
      <c r="I24" s="2" t="str">
        <f>Data!C25</f>
        <v>Raiders</v>
      </c>
      <c r="J24" s="2" t="str">
        <f>Data!D25</f>
        <v>Warriors</v>
      </c>
      <c r="K24" s="2" t="str">
        <f>Data!E25</f>
        <v>Dolphins</v>
      </c>
      <c r="L24" s="2" t="str">
        <f>IF(Data!$S$3&lt;Engine!L$1,0,Data!F25)</f>
        <v>Storm</v>
      </c>
      <c r="M24" s="2" t="str">
        <f>IF(Data!$S$3&lt;Engine!M$1,0,Data!G25)</f>
        <v>Broncos</v>
      </c>
      <c r="N24" s="2" t="str">
        <f>IF(Data!$S$3&lt;Engine!N$1,0,Data!H25)</f>
        <v>Roosters</v>
      </c>
      <c r="O24" s="2" t="str">
        <f>IF(Data!$S$3&lt;Engine!O$1,0,Data!I25)</f>
        <v>Titans</v>
      </c>
      <c r="P24" s="2">
        <f>IF(Data!$S$3&lt;Engine!P$1,0,Data!J25)</f>
        <v>0</v>
      </c>
      <c r="Q24" s="11" t="str">
        <f>IF(Data!B25=1,Data!K25,"No Tips")</f>
        <v>Raiders</v>
      </c>
      <c r="R24" s="2">
        <f>Data!L25</f>
        <v>60</v>
      </c>
      <c r="S24" s="2">
        <f>Data!M25</f>
        <v>2645</v>
      </c>
      <c r="T24" s="1">
        <f>IF(I24="","",COUNTIF('Live Ladder'!P:P,I24)+COUNTIF('Live Ladder'!P:P,J24)+COUNTIF('Live Ladder'!P:P,K24)+COUNTIF('Live Ladder'!P:P,L24)+COUNTIF('Live Ladder'!P:P,M24)+COUNTIF('Live Ladder'!P:P,N24)+COUNTIF('Live Ladder'!P:P,O24)+COUNTIF('Live Ladder'!P:P,P24))</f>
        <v>1</v>
      </c>
      <c r="U24" s="1">
        <f>IF(I24="","",IF(COUNTIF('Live Ladder'!P:P,Engine!Q24)=1,2,IF(COUNTIF('Live Ladder'!Q:Q,Engine!Q24)=1,-2,0)))</f>
        <v>2</v>
      </c>
      <c r="V24" s="1">
        <f>IF(I24="","",IF(T24=Data!S$3,2,0))</f>
        <v>0</v>
      </c>
      <c r="W24" s="1">
        <f t="shared" si="11"/>
        <v>3</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16</v>
      </c>
      <c r="Y24">
        <f t="shared" si="15"/>
        <v>63</v>
      </c>
      <c r="Z24">
        <f t="shared" si="12"/>
        <v>2661</v>
      </c>
      <c r="AA24" s="111">
        <f t="shared" si="13"/>
        <v>63.026610071</v>
      </c>
      <c r="AB24">
        <f t="shared" si="6"/>
        <v>3</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16</v>
      </c>
      <c r="AF24">
        <f>IF(I24="","",IF(Q24="",0,IF(AND(Q24&gt;0,COUNTIF('Stats Calculator'!$T$24:$AA$24,Q24)=1),HLOOKUP(Q24,'Stats Calculator'!$T$24:$AA$27,4,FALSE),IF(AND(Q24&gt;0,COUNTIF('Stats Calculator'!$T$25:$AA$25,Q24)=1),HLOOKUP(Q24,'Stats Calculator'!$T$25:$AA$27,3,FALSE)))))</f>
        <v>1</v>
      </c>
      <c r="AG24">
        <f>IF(I24="","",COUNTIF(I24,'Stats Calculator'!E$31)+COUNTIF(J24,'Stats Calculator'!E$32)+COUNTIF(K24,'Stats Calculator'!E$33)+COUNTIF(L24,'Stats Calculator'!E$34)+COUNTIF(M24,'Stats Calculator'!E$35)+COUNTIF(N24,'Stats Calculator'!E$36)+COUNTIF(O24,'Stats Calculator'!E$37)+COUNTIF(P24,'Stats Calculator'!E$38)-8+Data!S$3)</f>
        <v>1</v>
      </c>
      <c r="AH24">
        <f>IF(I24="","",IF(Q24="",0,IF(Q24=0,0,IF(VLOOKUP(Engine!AF24,'Stats Calculator'!B$31:E$38,4,FALSE)="",0,IF(VLOOKUP(Engine!AF24,'Stats Calculator'!B$31:E$38,4,FALSE)=Q24,2,-2)))))</f>
        <v>2</v>
      </c>
      <c r="AI24">
        <f>IF(I24="","",Data!S$3-COUNTA('Stats Calculator'!E$31:E$38))</f>
        <v>6</v>
      </c>
      <c r="AJ24">
        <f>IF(I24="","",IF(AF24=0,0,IF(VLOOKUP(AF24,'Stats Calculator'!B$31:E$38,4,FALSE)&gt;0,0,2)))</f>
        <v>0</v>
      </c>
      <c r="AK24">
        <f>IF(I24="","",IF(Data!S$3-Engine!AI24=AG24,2,0))</f>
        <v>2</v>
      </c>
      <c r="AL24">
        <f t="shared" si="14"/>
        <v>11</v>
      </c>
    </row>
    <row r="25" spans="1:38" x14ac:dyDescent="0.35">
      <c r="A25">
        <v>24</v>
      </c>
      <c r="B25">
        <f t="shared" si="0"/>
        <v>26</v>
      </c>
      <c r="C25" s="111">
        <f t="shared" si="8"/>
        <v>71.027410070000002</v>
      </c>
      <c r="D25">
        <f t="shared" si="1"/>
        <v>27</v>
      </c>
      <c r="E25" s="3" t="str">
        <f t="shared" si="9"/>
        <v>q</v>
      </c>
      <c r="F25">
        <f t="shared" si="10"/>
        <v>1</v>
      </c>
      <c r="G25">
        <v>70</v>
      </c>
      <c r="H25" t="str">
        <f>Data!A26</f>
        <v>Lou</v>
      </c>
      <c r="I25" s="2" t="str">
        <f>Data!C26</f>
        <v>Raiders</v>
      </c>
      <c r="J25" s="2" t="str">
        <f>Data!D26</f>
        <v>Warriors</v>
      </c>
      <c r="K25" s="2" t="str">
        <f>Data!E26</f>
        <v>Dolphins</v>
      </c>
      <c r="L25" s="2" t="str">
        <f>IF(Data!$S$3&lt;Engine!L$1,0,Data!F26)</f>
        <v>Storm</v>
      </c>
      <c r="M25" s="2" t="str">
        <f>IF(Data!$S$3&lt;Engine!M$1,0,Data!G26)</f>
        <v>Broncos</v>
      </c>
      <c r="N25" s="2" t="str">
        <f>IF(Data!$S$3&lt;Engine!N$1,0,Data!H26)</f>
        <v>Roosters</v>
      </c>
      <c r="O25" s="2" t="str">
        <f>IF(Data!$S$3&lt;Engine!O$1,0,Data!I26)</f>
        <v>Eels</v>
      </c>
      <c r="P25" s="2">
        <f>IF(Data!$S$3&lt;Engine!P$1,0,Data!J26)</f>
        <v>0</v>
      </c>
      <c r="Q25" s="11" t="str">
        <f>IF(Data!B26=1,Data!K26,"No Tips")</f>
        <v>Dolphins</v>
      </c>
      <c r="R25" s="2">
        <f>Data!L26</f>
        <v>71</v>
      </c>
      <c r="S25" s="2">
        <f>Data!M26</f>
        <v>2741</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16</v>
      </c>
      <c r="Y25">
        <f t="shared" si="15"/>
        <v>72</v>
      </c>
      <c r="Z25">
        <f t="shared" si="12"/>
        <v>2757</v>
      </c>
      <c r="AA25" s="111">
        <f t="shared" si="13"/>
        <v>72.027570069999996</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16</v>
      </c>
      <c r="AF25">
        <f>IF(I25="","",IF(Q25="",0,IF(AND(Q25&gt;0,COUNTIF('Stats Calculator'!$T$24:$AA$24,Q25)=1),HLOOKUP(Q25,'Stats Calculator'!$T$24:$AA$27,4,FALSE),IF(AND(Q25&gt;0,COUNTIF('Stats Calculator'!$T$25:$AA$25,Q25)=1),HLOOKUP(Q25,'Stats Calculator'!$T$25:$AA$27,3,FALSE)))))</f>
        <v>3</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6</v>
      </c>
      <c r="AJ25">
        <f>IF(I25="","",IF(AF25=0,0,IF(VLOOKUP(AF25,'Stats Calculator'!B$31:E$38,4,FALSE)&gt;0,0,2)))</f>
        <v>2</v>
      </c>
      <c r="AK25">
        <f>IF(I25="","",IF(Data!S$3-Engine!AI25=AG25,2,0))</f>
        <v>2</v>
      </c>
      <c r="AL25">
        <f t="shared" si="14"/>
        <v>11</v>
      </c>
    </row>
    <row r="26" spans="1:38" x14ac:dyDescent="0.35">
      <c r="A26">
        <v>25</v>
      </c>
      <c r="B26">
        <f t="shared" si="0"/>
        <v>48</v>
      </c>
      <c r="C26" s="111">
        <f t="shared" si="8"/>
        <v>56.027300068999999</v>
      </c>
      <c r="D26">
        <f t="shared" si="1"/>
        <v>49</v>
      </c>
      <c r="E26" s="3" t="str">
        <f t="shared" si="9"/>
        <v>q</v>
      </c>
      <c r="F26">
        <f t="shared" si="10"/>
        <v>1</v>
      </c>
      <c r="G26">
        <v>69</v>
      </c>
      <c r="H26" t="str">
        <f>Data!A27</f>
        <v>Lukebrooksbiggestfan</v>
      </c>
      <c r="I26" s="2" t="str">
        <f>Data!C27</f>
        <v>Wests Tigers</v>
      </c>
      <c r="J26" s="2" t="str">
        <f>Data!D27</f>
        <v>Warriors</v>
      </c>
      <c r="K26" s="2" t="str">
        <f>Data!E27</f>
        <v>Dolphins</v>
      </c>
      <c r="L26" s="2" t="str">
        <f>IF(Data!$S$3&lt;Engine!L$1,0,Data!F27)</f>
        <v>Storm</v>
      </c>
      <c r="M26" s="2" t="str">
        <f>IF(Data!$S$3&lt;Engine!M$1,0,Data!G27)</f>
        <v>Sharks</v>
      </c>
      <c r="N26" s="2" t="str">
        <f>IF(Data!$S$3&lt;Engine!N$1,0,Data!H27)</f>
        <v>Roosters</v>
      </c>
      <c r="O26" s="2" t="str">
        <f>IF(Data!$S$3&lt;Engine!O$1,0,Data!I27)</f>
        <v>Titans</v>
      </c>
      <c r="P26" s="2">
        <f>IF(Data!$S$3&lt;Engine!P$1,0,Data!J27)</f>
        <v>0</v>
      </c>
      <c r="Q26" s="11" t="str">
        <f>IF(Data!B27=1,Data!K27,"No Tips")</f>
        <v>Dolphins</v>
      </c>
      <c r="R26" s="2">
        <f>Data!L27</f>
        <v>56</v>
      </c>
      <c r="S26" s="2">
        <f>Data!M27</f>
        <v>2730</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12</v>
      </c>
      <c r="Y26">
        <f t="shared" si="15"/>
        <v>56</v>
      </c>
      <c r="Z26">
        <f t="shared" si="12"/>
        <v>2742</v>
      </c>
      <c r="AA26" s="111">
        <f t="shared" si="13"/>
        <v>56.027420069000001</v>
      </c>
      <c r="AB26">
        <f t="shared" si="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12</v>
      </c>
      <c r="AF26">
        <f>IF(I26="","",IF(Q26="",0,IF(AND(Q26&gt;0,COUNTIF('Stats Calculator'!$T$24:$AA$24,Q26)=1),HLOOKUP(Q26,'Stats Calculator'!$T$24:$AA$27,4,FALSE),IF(AND(Q26&gt;0,COUNTIF('Stats Calculator'!$T$25:$AA$25,Q26)=1),HLOOKUP(Q26,'Stats Calculator'!$T$25:$AA$27,3,FALSE)))))</f>
        <v>3</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6</v>
      </c>
      <c r="AJ26">
        <f>IF(I26="","",IF(AF26=0,0,IF(VLOOKUP(AF26,'Stats Calculator'!B$31:E$38,4,FALSE)&gt;0,0,2)))</f>
        <v>2</v>
      </c>
      <c r="AK26">
        <f>IF(I26="","",IF(Data!S$3-Engine!AI26=AG26,2,0))</f>
        <v>0</v>
      </c>
      <c r="AL26">
        <f t="shared" si="14"/>
        <v>8</v>
      </c>
    </row>
    <row r="27" spans="1:38" x14ac:dyDescent="0.35">
      <c r="A27">
        <v>26</v>
      </c>
      <c r="B27">
        <f t="shared" si="0"/>
        <v>10</v>
      </c>
      <c r="C27" s="111">
        <f t="shared" si="8"/>
        <v>76.028210068000007</v>
      </c>
      <c r="D27">
        <f t="shared" si="1"/>
        <v>7</v>
      </c>
      <c r="E27" s="3" t="str">
        <f t="shared" si="9"/>
        <v>p</v>
      </c>
      <c r="F27">
        <f t="shared" si="10"/>
        <v>3</v>
      </c>
      <c r="G27">
        <v>68</v>
      </c>
      <c r="H27" t="str">
        <f>Data!A28</f>
        <v>Magnum</v>
      </c>
      <c r="I27" s="2" t="str">
        <f>Data!C28</f>
        <v>Raiders</v>
      </c>
      <c r="J27" s="2" t="str">
        <f>Data!D28</f>
        <v>Warriors</v>
      </c>
      <c r="K27" s="2" t="str">
        <f>Data!E28</f>
        <v>Dolphins</v>
      </c>
      <c r="L27" s="2" t="str">
        <f>IF(Data!$S$3&lt;Engine!L$1,0,Data!F28)</f>
        <v>Storm</v>
      </c>
      <c r="M27" s="2" t="str">
        <f>IF(Data!$S$3&lt;Engine!M$1,0,Data!G28)</f>
        <v>Broncos</v>
      </c>
      <c r="N27" s="2" t="str">
        <f>IF(Data!$S$3&lt;Engine!N$1,0,Data!H28)</f>
        <v>Roosters</v>
      </c>
      <c r="O27" s="2" t="str">
        <f>IF(Data!$S$3&lt;Engine!O$1,0,Data!I28)</f>
        <v>Eels</v>
      </c>
      <c r="P27" s="2">
        <f>IF(Data!$S$3&lt;Engine!P$1,0,Data!J28)</f>
        <v>0</v>
      </c>
      <c r="Q27" s="11" t="str">
        <f>IF(Data!B28=1,Data!K28,"No Tips")</f>
        <v>Raiders</v>
      </c>
      <c r="R27" s="2">
        <f>Data!L28</f>
        <v>76</v>
      </c>
      <c r="S27" s="2">
        <f>Data!M28</f>
        <v>2821</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2</v>
      </c>
      <c r="V27" s="1">
        <f>IF(I27="","",IF(T27=Data!S$3,2,0))</f>
        <v>0</v>
      </c>
      <c r="W27" s="1">
        <f t="shared" si="11"/>
        <v>3</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Y27">
        <f t="shared" si="15"/>
        <v>79</v>
      </c>
      <c r="Z27">
        <f t="shared" si="12"/>
        <v>2837</v>
      </c>
      <c r="AA27" s="111">
        <f t="shared" si="13"/>
        <v>79.028370068000001</v>
      </c>
      <c r="AB27">
        <f t="shared" si="6"/>
        <v>3</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16</v>
      </c>
      <c r="AF27">
        <f>IF(I27="","",IF(Q27="",0,IF(AND(Q27&gt;0,COUNTIF('Stats Calculator'!$T$24:$AA$24,Q27)=1),HLOOKUP(Q27,'Stats Calculator'!$T$24:$AA$27,4,FALSE),IF(AND(Q27&gt;0,COUNTIF('Stats Calculator'!$T$25:$AA$25,Q27)=1),HLOOKUP(Q27,'Stats Calculator'!$T$25:$AA$27,3,FALSE)))))</f>
        <v>1</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2</v>
      </c>
      <c r="AI27">
        <f>IF(I27="","",Data!S$3-COUNTA('Stats Calculator'!E$31:E$38))</f>
        <v>6</v>
      </c>
      <c r="AJ27">
        <f>IF(I27="","",IF(AF27=0,0,IF(VLOOKUP(AF27,'Stats Calculator'!B$31:E$38,4,FALSE)&gt;0,0,2)))</f>
        <v>0</v>
      </c>
      <c r="AK27">
        <f>IF(I27="","",IF(Data!S$3-Engine!AI27=AG27,2,0))</f>
        <v>2</v>
      </c>
      <c r="AL27">
        <f t="shared" si="14"/>
        <v>11</v>
      </c>
    </row>
    <row r="28" spans="1:38" x14ac:dyDescent="0.35">
      <c r="A28">
        <v>27</v>
      </c>
      <c r="B28">
        <f t="shared" si="0"/>
        <v>35</v>
      </c>
      <c r="C28" s="111">
        <f t="shared" si="8"/>
        <v>66.026840067000009</v>
      </c>
      <c r="D28">
        <f t="shared" si="1"/>
        <v>36</v>
      </c>
      <c r="E28" s="3" t="str">
        <f t="shared" si="9"/>
        <v>q</v>
      </c>
      <c r="F28">
        <f t="shared" si="10"/>
        <v>1</v>
      </c>
      <c r="G28">
        <v>67</v>
      </c>
      <c r="H28" t="str">
        <f>Data!A29</f>
        <v>Matt Brownie</v>
      </c>
      <c r="I28" s="2" t="str">
        <f>Data!C29</f>
        <v>Raiders</v>
      </c>
      <c r="J28" s="2" t="str">
        <f>Data!D29</f>
        <v>Warriors</v>
      </c>
      <c r="K28" s="2" t="str">
        <f>Data!E29</f>
        <v>Dolphins</v>
      </c>
      <c r="L28" s="2" t="str">
        <f>IF(Data!$S$3&lt;Engine!L$1,0,Data!F29)</f>
        <v>Storm</v>
      </c>
      <c r="M28" s="2" t="str">
        <f>IF(Data!$S$3&lt;Engine!M$1,0,Data!G29)</f>
        <v>Broncos</v>
      </c>
      <c r="N28" s="2" t="str">
        <f>IF(Data!$S$3&lt;Engine!N$1,0,Data!H29)</f>
        <v>Roosters</v>
      </c>
      <c r="O28" s="2" t="str">
        <f>IF(Data!$S$3&lt;Engine!O$1,0,Data!I29)</f>
        <v>Eels</v>
      </c>
      <c r="P28" s="2">
        <f>IF(Data!$S$3&lt;Engine!P$1,0,Data!J29)</f>
        <v>0</v>
      </c>
      <c r="Q28" s="11" t="str">
        <f>IF(Data!B29=1,Data!K29,"No Tips")</f>
        <v>Warriors</v>
      </c>
      <c r="R28" s="2">
        <f>Data!L29</f>
        <v>66</v>
      </c>
      <c r="S28" s="2">
        <f>Data!M29</f>
        <v>2684</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16</v>
      </c>
      <c r="Y28">
        <f t="shared" si="15"/>
        <v>67</v>
      </c>
      <c r="Z28">
        <f t="shared" si="12"/>
        <v>2700</v>
      </c>
      <c r="AA28" s="111">
        <f t="shared" si="13"/>
        <v>67.027000067000003</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16</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6</v>
      </c>
      <c r="AJ28">
        <f>IF(I28="","",IF(AF28=0,0,IF(VLOOKUP(AF28,'Stats Calculator'!B$31:E$38,4,FALSE)&gt;0,0,2)))</f>
        <v>2</v>
      </c>
      <c r="AK28">
        <f>IF(I28="","",IF(Data!S$3-Engine!AI28=AG28,2,0))</f>
        <v>2</v>
      </c>
      <c r="AL28">
        <f t="shared" si="14"/>
        <v>11</v>
      </c>
    </row>
    <row r="29" spans="1:38" x14ac:dyDescent="0.35">
      <c r="A29">
        <v>28</v>
      </c>
      <c r="B29">
        <f t="shared" si="0"/>
        <v>24</v>
      </c>
      <c r="C29" s="111">
        <f t="shared" si="8"/>
        <v>71.028980066000003</v>
      </c>
      <c r="D29">
        <f t="shared" si="1"/>
        <v>21</v>
      </c>
      <c r="E29" s="3" t="str">
        <f t="shared" si="9"/>
        <v>p</v>
      </c>
      <c r="F29">
        <f t="shared" si="10"/>
        <v>3</v>
      </c>
      <c r="G29">
        <v>66</v>
      </c>
      <c r="H29" t="str">
        <f>Data!A30</f>
        <v>MB</v>
      </c>
      <c r="I29" s="2" t="str">
        <f>Data!C30</f>
        <v>Raiders</v>
      </c>
      <c r="J29" s="2" t="str">
        <f>Data!D30</f>
        <v>Warriors</v>
      </c>
      <c r="K29" s="2" t="str">
        <f>Data!E30</f>
        <v>Dolphins</v>
      </c>
      <c r="L29" s="2" t="str">
        <f>IF(Data!$S$3&lt;Engine!L$1,0,Data!F30)</f>
        <v>Storm</v>
      </c>
      <c r="M29" s="2" t="str">
        <f>IF(Data!$S$3&lt;Engine!M$1,0,Data!G30)</f>
        <v>Sharks</v>
      </c>
      <c r="N29" s="2" t="str">
        <f>IF(Data!$S$3&lt;Engine!N$1,0,Data!H30)</f>
        <v>Roosters</v>
      </c>
      <c r="O29" s="2" t="str">
        <f>IF(Data!$S$3&lt;Engine!O$1,0,Data!I30)</f>
        <v>Titans</v>
      </c>
      <c r="P29" s="2">
        <f>IF(Data!$S$3&lt;Engine!P$1,0,Data!J30)</f>
        <v>0</v>
      </c>
      <c r="Q29" s="11" t="str">
        <f>IF(Data!B30=1,Data!K30,"No Tips")</f>
        <v>Raiders</v>
      </c>
      <c r="R29" s="2">
        <f>Data!L30</f>
        <v>71</v>
      </c>
      <c r="S29" s="2">
        <f>Data!M30</f>
        <v>2898</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2</v>
      </c>
      <c r="V29" s="1">
        <f>IF(I29="","",IF(T29=Data!S$3,2,0))</f>
        <v>0</v>
      </c>
      <c r="W29" s="1">
        <f t="shared" si="11"/>
        <v>3</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16</v>
      </c>
      <c r="Y29">
        <f t="shared" si="15"/>
        <v>74</v>
      </c>
      <c r="Z29">
        <f t="shared" si="12"/>
        <v>2914</v>
      </c>
      <c r="AA29" s="111">
        <f t="shared" si="13"/>
        <v>74.029140065999997</v>
      </c>
      <c r="AB29">
        <f t="shared" si="6"/>
        <v>3</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16</v>
      </c>
      <c r="AF29">
        <f>IF(I29="","",IF(Q29="",0,IF(AND(Q29&gt;0,COUNTIF('Stats Calculator'!$T$24:$AA$24,Q29)=1),HLOOKUP(Q29,'Stats Calculator'!$T$24:$AA$27,4,FALSE),IF(AND(Q29&gt;0,COUNTIF('Stats Calculator'!$T$25:$AA$25,Q29)=1),HLOOKUP(Q29,'Stats Calculator'!$T$25:$AA$27,3,FALSE)))))</f>
        <v>1</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2</v>
      </c>
      <c r="AI29">
        <f>IF(I29="","",Data!S$3-COUNTA('Stats Calculator'!E$31:E$38))</f>
        <v>6</v>
      </c>
      <c r="AJ29">
        <f>IF(I29="","",IF(AF29=0,0,IF(VLOOKUP(AF29,'Stats Calculator'!B$31:E$38,4,FALSE)&gt;0,0,2)))</f>
        <v>0</v>
      </c>
      <c r="AK29">
        <f>IF(I29="","",IF(Data!S$3-Engine!AI29=AG29,2,0))</f>
        <v>2</v>
      </c>
      <c r="AL29">
        <f t="shared" si="14"/>
        <v>11</v>
      </c>
    </row>
    <row r="30" spans="1:38" x14ac:dyDescent="0.35">
      <c r="A30">
        <v>29</v>
      </c>
      <c r="B30">
        <f t="shared" si="0"/>
        <v>55</v>
      </c>
      <c r="C30" s="111">
        <f t="shared" si="8"/>
        <v>20.022920064999997</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f>IF(Data!$S$3&lt;Engine!P$1,0,Data!J31)</f>
        <v>0</v>
      </c>
      <c r="Q30" s="11" t="str">
        <f>IF(Data!B31=1,Data!K31,"No Tips")</f>
        <v>No Tips</v>
      </c>
      <c r="R30" s="2">
        <f>Data!L31</f>
        <v>20</v>
      </c>
      <c r="S30" s="2">
        <f>Data!M31</f>
        <v>2292</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0</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12</v>
      </c>
      <c r="Y30">
        <f t="shared" si="15"/>
        <v>20</v>
      </c>
      <c r="Z30">
        <f t="shared" si="12"/>
        <v>2304</v>
      </c>
      <c r="AA30" s="111">
        <f t="shared" si="13"/>
        <v>20.023040065</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11</v>
      </c>
      <c r="C31" s="111">
        <f t="shared" si="8"/>
        <v>76.027440064000004</v>
      </c>
      <c r="D31">
        <f t="shared" si="1"/>
        <v>10</v>
      </c>
      <c r="E31" s="3" t="str">
        <f t="shared" si="9"/>
        <v>p</v>
      </c>
      <c r="F31">
        <f t="shared" si="10"/>
        <v>1</v>
      </c>
      <c r="G31">
        <v>64</v>
      </c>
      <c r="H31" t="str">
        <f>Data!A32</f>
        <v>Micrider</v>
      </c>
      <c r="I31" s="2" t="str">
        <f>Data!C32</f>
        <v>Raiders</v>
      </c>
      <c r="J31" s="2" t="str">
        <f>Data!D32</f>
        <v>Warriors</v>
      </c>
      <c r="K31" s="2" t="str">
        <f>Data!E32</f>
        <v>Dolphins</v>
      </c>
      <c r="L31" s="2" t="str">
        <f>IF(Data!$S$3&lt;Engine!L$1,0,Data!F32)</f>
        <v>Storm</v>
      </c>
      <c r="M31" s="2" t="str">
        <f>IF(Data!$S$3&lt;Engine!M$1,0,Data!G32)</f>
        <v>Broncos</v>
      </c>
      <c r="N31" s="2" t="str">
        <f>IF(Data!$S$3&lt;Engine!N$1,0,Data!H32)</f>
        <v>Roosters</v>
      </c>
      <c r="O31" s="2" t="str">
        <f>IF(Data!$S$3&lt;Engine!O$1,0,Data!I32)</f>
        <v>Eels</v>
      </c>
      <c r="P31" s="2">
        <f>IF(Data!$S$3&lt;Engine!P$1,0,Data!J32)</f>
        <v>0</v>
      </c>
      <c r="Q31" s="11" t="str">
        <f>IF(Data!B32=1,Data!K32,"No Tips")</f>
        <v>Raiders</v>
      </c>
      <c r="R31" s="2">
        <f>Data!L32</f>
        <v>76</v>
      </c>
      <c r="S31" s="2">
        <f>Data!M32</f>
        <v>2744</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2</v>
      </c>
      <c r="V31" s="1">
        <f>IF(I31="","",IF(T31=Data!S$3,2,0))</f>
        <v>0</v>
      </c>
      <c r="W31" s="1">
        <f t="shared" si="11"/>
        <v>3</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16</v>
      </c>
      <c r="Y31">
        <f t="shared" si="15"/>
        <v>79</v>
      </c>
      <c r="Z31">
        <f t="shared" si="12"/>
        <v>2760</v>
      </c>
      <c r="AA31" s="111">
        <f t="shared" si="13"/>
        <v>79.027600064000012</v>
      </c>
      <c r="AB31">
        <f t="shared" si="6"/>
        <v>3</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16</v>
      </c>
      <c r="AD31"/>
      <c r="AE31"/>
      <c r="AF31">
        <f>IF(I31="","",IF(Q31="",0,IF(AND(Q31&gt;0,COUNTIF('Stats Calculator'!$T$24:$AA$24,Q31)=1),HLOOKUP(Q31,'Stats Calculator'!$T$24:$AA$27,4,FALSE),IF(AND(Q31&gt;0,COUNTIF('Stats Calculator'!$T$25:$AA$25,Q31)=1),HLOOKUP(Q31,'Stats Calculator'!$T$25:$AA$27,3,FALSE)))))</f>
        <v>1</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2</v>
      </c>
      <c r="AI31">
        <f>IF(I31="","",Data!S$3-COUNTA('Stats Calculator'!E$31:E$38))</f>
        <v>6</v>
      </c>
      <c r="AJ31">
        <f>IF(I31="","",IF(AF31=0,0,IF(VLOOKUP(AF31,'Stats Calculator'!B$31:E$38,4,FALSE)&gt;0,0,2)))</f>
        <v>0</v>
      </c>
      <c r="AK31">
        <f>IF(I31="","",IF(Data!S$3-Engine!AI31=AG31,2,0))</f>
        <v>2</v>
      </c>
      <c r="AL31">
        <f t="shared" si="14"/>
        <v>11</v>
      </c>
    </row>
    <row r="32" spans="1:38" x14ac:dyDescent="0.35">
      <c r="A32">
        <v>31</v>
      </c>
      <c r="B32">
        <f t="shared" si="0"/>
        <v>36</v>
      </c>
      <c r="C32" s="111">
        <f t="shared" si="8"/>
        <v>65.027440063</v>
      </c>
      <c r="D32">
        <f t="shared" si="1"/>
        <v>34</v>
      </c>
      <c r="E32" s="3" t="str">
        <f t="shared" si="9"/>
        <v>p</v>
      </c>
      <c r="F32">
        <f t="shared" si="10"/>
        <v>2</v>
      </c>
      <c r="G32">
        <v>63</v>
      </c>
      <c r="H32" t="str">
        <f>Data!A33</f>
        <v>MJP181</v>
      </c>
      <c r="I32" s="2" t="str">
        <f>Data!C33</f>
        <v>Raiders</v>
      </c>
      <c r="J32" s="2" t="str">
        <f>Data!D33</f>
        <v>Warriors</v>
      </c>
      <c r="K32" s="2" t="str">
        <f>Data!E33</f>
        <v>Dolphins</v>
      </c>
      <c r="L32" s="2" t="str">
        <f>IF(Data!$S$3&lt;Engine!L$1,0,Data!F33)</f>
        <v>Storm</v>
      </c>
      <c r="M32" s="2" t="str">
        <f>IF(Data!$S$3&lt;Engine!M$1,0,Data!G33)</f>
        <v>Broncos</v>
      </c>
      <c r="N32" s="2" t="str">
        <f>IF(Data!$S$3&lt;Engine!N$1,0,Data!H33)</f>
        <v>Roosters</v>
      </c>
      <c r="O32" s="2" t="str">
        <f>IF(Data!$S$3&lt;Engine!O$1,0,Data!I33)</f>
        <v>Eels</v>
      </c>
      <c r="P32" s="2">
        <f>IF(Data!$S$3&lt;Engine!P$1,0,Data!J33)</f>
        <v>0</v>
      </c>
      <c r="Q32" s="11" t="str">
        <f>IF(Data!B33=1,Data!K33,"No Tips")</f>
        <v>Raiders</v>
      </c>
      <c r="R32" s="2">
        <f>Data!L33</f>
        <v>65</v>
      </c>
      <c r="S32" s="2">
        <f>Data!M33</f>
        <v>2744</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2</v>
      </c>
      <c r="V32" s="1">
        <f>IF(I32="","",IF(T32=Data!S$3,2,0))</f>
        <v>0</v>
      </c>
      <c r="W32" s="1">
        <f t="shared" si="11"/>
        <v>3</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16</v>
      </c>
      <c r="Y32">
        <f t="shared" si="15"/>
        <v>68</v>
      </c>
      <c r="Z32">
        <f t="shared" si="12"/>
        <v>2760</v>
      </c>
      <c r="AA32" s="111">
        <f t="shared" si="13"/>
        <v>68.027600063000008</v>
      </c>
      <c r="AB32">
        <f t="shared" si="6"/>
        <v>3</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16</v>
      </c>
      <c r="AF32">
        <f>IF(I32="","",IF(Q32="",0,IF(AND(Q32&gt;0,COUNTIF('Stats Calculator'!$T$24:$AA$24,Q32)=1),HLOOKUP(Q32,'Stats Calculator'!$T$24:$AA$27,4,FALSE),IF(AND(Q32&gt;0,COUNTIF('Stats Calculator'!$T$25:$AA$25,Q32)=1),HLOOKUP(Q32,'Stats Calculator'!$T$25:$AA$27,3,FALSE)))))</f>
        <v>1</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2</v>
      </c>
      <c r="AI32">
        <f>IF(I32="","",Data!S$3-COUNTA('Stats Calculator'!E$31:E$38))</f>
        <v>6</v>
      </c>
      <c r="AJ32">
        <f>IF(I32="","",IF(AF32=0,0,IF(VLOOKUP(AF32,'Stats Calculator'!B$31:E$38,4,FALSE)&gt;0,0,2)))</f>
        <v>0</v>
      </c>
      <c r="AK32">
        <f>IF(I32="","",IF(Data!S$3-Engine!AI32=AG32,2,0))</f>
        <v>2</v>
      </c>
      <c r="AL32">
        <f t="shared" si="14"/>
        <v>11</v>
      </c>
    </row>
    <row r="33" spans="1:38" x14ac:dyDescent="0.35">
      <c r="A33">
        <v>32</v>
      </c>
      <c r="B33">
        <f t="shared" si="0"/>
        <v>33</v>
      </c>
      <c r="C33" s="111">
        <f t="shared" si="8"/>
        <v>66.027710061999997</v>
      </c>
      <c r="D33">
        <f t="shared" si="1"/>
        <v>35</v>
      </c>
      <c r="E33" s="3" t="str">
        <f t="shared" si="9"/>
        <v>q</v>
      </c>
      <c r="F33">
        <f t="shared" si="10"/>
        <v>2</v>
      </c>
      <c r="G33">
        <v>62</v>
      </c>
      <c r="H33" t="str">
        <f>Data!A34</f>
        <v>MLC</v>
      </c>
      <c r="I33" s="2" t="str">
        <f>Data!C34</f>
        <v>Raiders</v>
      </c>
      <c r="J33" s="2" t="str">
        <f>Data!D34</f>
        <v>Warriors</v>
      </c>
      <c r="K33" s="2" t="str">
        <f>Data!E34</f>
        <v>Dolphins</v>
      </c>
      <c r="L33" s="2" t="str">
        <f>IF(Data!$S$3&lt;Engine!L$1,0,Data!F34)</f>
        <v>Storm</v>
      </c>
      <c r="M33" s="2" t="str">
        <f>IF(Data!$S$3&lt;Engine!M$1,0,Data!G34)</f>
        <v>Broncos</v>
      </c>
      <c r="N33" s="2" t="str">
        <f>IF(Data!$S$3&lt;Engine!N$1,0,Data!H34)</f>
        <v>Roosters</v>
      </c>
      <c r="O33" s="2" t="str">
        <f>IF(Data!$S$3&lt;Engine!O$1,0,Data!I34)</f>
        <v>Titans</v>
      </c>
      <c r="P33" s="2">
        <f>IF(Data!$S$3&lt;Engine!P$1,0,Data!J34)</f>
        <v>0</v>
      </c>
      <c r="Q33" s="11" t="str">
        <f>IF(Data!B34=1,Data!K34,"No Tips")</f>
        <v>Dolphins</v>
      </c>
      <c r="R33" s="2">
        <f>Data!L34</f>
        <v>66</v>
      </c>
      <c r="S33" s="2">
        <f>Data!M34</f>
        <v>2771</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16</v>
      </c>
      <c r="Y33">
        <f t="shared" si="15"/>
        <v>67</v>
      </c>
      <c r="Z33">
        <f t="shared" si="12"/>
        <v>2787</v>
      </c>
      <c r="AA33" s="111">
        <f t="shared" si="13"/>
        <v>67.027870061999991</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16</v>
      </c>
      <c r="AF33">
        <f>IF(I33="","",IF(Q33="",0,IF(AND(Q33&gt;0,COUNTIF('Stats Calculator'!$T$24:$AA$24,Q33)=1),HLOOKUP(Q33,'Stats Calculator'!$T$24:$AA$27,4,FALSE),IF(AND(Q33&gt;0,COUNTIF('Stats Calculator'!$T$25:$AA$25,Q33)=1),HLOOKUP(Q33,'Stats Calculator'!$T$25:$AA$27,3,FALSE)))))</f>
        <v>3</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6</v>
      </c>
      <c r="AJ33">
        <f>IF(I33="","",IF(AF33=0,0,IF(VLOOKUP(AF33,'Stats Calculator'!B$31:E$38,4,FALSE)&gt;0,0,2)))</f>
        <v>2</v>
      </c>
      <c r="AK33">
        <f>IF(I33="","",IF(Data!S$3-Engine!AI33=AG33,2,0))</f>
        <v>2</v>
      </c>
      <c r="AL33">
        <f t="shared" si="14"/>
        <v>11</v>
      </c>
    </row>
    <row r="34" spans="1:38" x14ac:dyDescent="0.35">
      <c r="A34">
        <v>33</v>
      </c>
      <c r="B34">
        <f t="shared" ref="B34:B65" si="16">IF(H34="ZZZZZZ Suspend","",RANK(C34,C:C))</f>
        <v>29</v>
      </c>
      <c r="C34" s="111">
        <f t="shared" si="8"/>
        <v>69.028120060999996</v>
      </c>
      <c r="D34">
        <f t="shared" ref="D34:D65" si="17">IF(H34="ZZZZZZ Suspend","",RANK(AA34,AA:AA))</f>
        <v>31</v>
      </c>
      <c r="E34" s="3" t="str">
        <f t="shared" si="9"/>
        <v>q</v>
      </c>
      <c r="F34">
        <f t="shared" si="10"/>
        <v>2</v>
      </c>
      <c r="G34">
        <v>61</v>
      </c>
      <c r="H34" t="str">
        <f>Data!A35</f>
        <v>MR. TAYLOR</v>
      </c>
      <c r="I34" s="2" t="str">
        <f>Data!C35</f>
        <v>Raiders</v>
      </c>
      <c r="J34" s="2" t="str">
        <f>Data!D35</f>
        <v>Warriors</v>
      </c>
      <c r="K34" s="2" t="str">
        <f>Data!E35</f>
        <v>Dolphins</v>
      </c>
      <c r="L34" s="2" t="str">
        <f>IF(Data!$S$3&lt;Engine!L$1,0,Data!F35)</f>
        <v>Storm</v>
      </c>
      <c r="M34" s="2" t="str">
        <f>IF(Data!$S$3&lt;Engine!M$1,0,Data!G35)</f>
        <v>Broncos</v>
      </c>
      <c r="N34" s="2" t="str">
        <f>IF(Data!$S$3&lt;Engine!N$1,0,Data!H35)</f>
        <v>Roosters</v>
      </c>
      <c r="O34" s="2" t="str">
        <f>IF(Data!$S$3&lt;Engine!O$1,0,Data!I35)</f>
        <v>Eels</v>
      </c>
      <c r="P34" s="2">
        <f>IF(Data!$S$3&lt;Engine!P$1,0,Data!J35)</f>
        <v>0</v>
      </c>
      <c r="Q34" s="11" t="str">
        <f>IF(Data!B35=1,Data!K35,"No Tips")</f>
        <v>Dolphins</v>
      </c>
      <c r="R34" s="2">
        <f>Data!L35</f>
        <v>69</v>
      </c>
      <c r="S34" s="2">
        <f>Data!M35</f>
        <v>2812</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16</v>
      </c>
      <c r="Y34">
        <f t="shared" si="15"/>
        <v>70</v>
      </c>
      <c r="Z34">
        <f t="shared" si="12"/>
        <v>2828</v>
      </c>
      <c r="AA34" s="111">
        <f t="shared" si="13"/>
        <v>70.02828006099999</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16</v>
      </c>
      <c r="AF34">
        <f>IF(I34="","",IF(Q34="",0,IF(AND(Q34&gt;0,COUNTIF('Stats Calculator'!$T$24:$AA$24,Q34)=1),HLOOKUP(Q34,'Stats Calculator'!$T$24:$AA$27,4,FALSE),IF(AND(Q34&gt;0,COUNTIF('Stats Calculator'!$T$25:$AA$25,Q34)=1),HLOOKUP(Q34,'Stats Calculator'!$T$25:$AA$27,3,FALSE)))))</f>
        <v>3</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6</v>
      </c>
      <c r="AJ34">
        <f>IF(I34="","",IF(AF34=0,0,IF(VLOOKUP(AF34,'Stats Calculator'!B$31:E$38,4,FALSE)&gt;0,0,2)))</f>
        <v>2</v>
      </c>
      <c r="AK34">
        <f>IF(I34="","",IF(Data!S$3-Engine!AI34=AG34,2,0))</f>
        <v>2</v>
      </c>
      <c r="AL34">
        <f t="shared" si="14"/>
        <v>11</v>
      </c>
    </row>
    <row r="35" spans="1:38" x14ac:dyDescent="0.35">
      <c r="A35">
        <v>34</v>
      </c>
      <c r="B35">
        <f t="shared" si="16"/>
        <v>7</v>
      </c>
      <c r="C35" s="111">
        <f t="shared" si="8"/>
        <v>78.027980060000004</v>
      </c>
      <c r="D35">
        <f t="shared" si="17"/>
        <v>8</v>
      </c>
      <c r="E35" s="3" t="str">
        <f t="shared" si="9"/>
        <v>q</v>
      </c>
      <c r="F35">
        <f t="shared" si="10"/>
        <v>1</v>
      </c>
      <c r="G35">
        <v>60</v>
      </c>
      <c r="H35" t="str">
        <f>Data!A36</f>
        <v>murch</v>
      </c>
      <c r="I35" s="2" t="str">
        <f>Data!C36</f>
        <v>Raiders</v>
      </c>
      <c r="J35" s="2" t="str">
        <f>Data!D36</f>
        <v>Warriors</v>
      </c>
      <c r="K35" s="2" t="str">
        <f>Data!E36</f>
        <v>Dolphins</v>
      </c>
      <c r="L35" s="2" t="str">
        <f>IF(Data!$S$3&lt;Engine!L$1,0,Data!F36)</f>
        <v>Storm</v>
      </c>
      <c r="M35" s="2" t="str">
        <f>IF(Data!$S$3&lt;Engine!M$1,0,Data!G36)</f>
        <v>Broncos</v>
      </c>
      <c r="N35" s="2" t="str">
        <f>IF(Data!$S$3&lt;Engine!N$1,0,Data!H36)</f>
        <v>Roosters</v>
      </c>
      <c r="O35" s="2" t="str">
        <f>IF(Data!$S$3&lt;Engine!O$1,0,Data!I36)</f>
        <v>Titans</v>
      </c>
      <c r="P35" s="2">
        <f>IF(Data!$S$3&lt;Engine!P$1,0,Data!J36)</f>
        <v>0</v>
      </c>
      <c r="Q35" s="11" t="str">
        <f>IF(Data!B36=1,Data!K36,"No Tips")</f>
        <v>Warriors</v>
      </c>
      <c r="R35" s="2">
        <f>Data!L36</f>
        <v>78</v>
      </c>
      <c r="S35" s="2">
        <f>Data!M36</f>
        <v>2798</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16</v>
      </c>
      <c r="Y35">
        <f t="shared" si="15"/>
        <v>79</v>
      </c>
      <c r="Z35">
        <f t="shared" si="12"/>
        <v>2814</v>
      </c>
      <c r="AA35" s="111">
        <f t="shared" si="13"/>
        <v>79.028140059999998</v>
      </c>
      <c r="AB35">
        <f t="shared" si="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16</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6</v>
      </c>
      <c r="AJ35">
        <f>IF(I35="","",IF(AF35=0,0,IF(VLOOKUP(AF35,'Stats Calculator'!B$31:E$38,4,FALSE)&gt;0,0,2)))</f>
        <v>2</v>
      </c>
      <c r="AK35">
        <f>IF(I35="","",IF(Data!S$3-Engine!AI35=AG35,2,0))</f>
        <v>2</v>
      </c>
      <c r="AL35">
        <f t="shared" si="14"/>
        <v>11</v>
      </c>
    </row>
    <row r="36" spans="1:38" x14ac:dyDescent="0.35">
      <c r="A36">
        <v>35</v>
      </c>
      <c r="B36">
        <f t="shared" si="16"/>
        <v>18</v>
      </c>
      <c r="C36" s="111">
        <f t="shared" si="8"/>
        <v>73.027950059000005</v>
      </c>
      <c r="D36">
        <f t="shared" si="17"/>
        <v>23</v>
      </c>
      <c r="E36" s="3" t="str">
        <f t="shared" si="9"/>
        <v>q</v>
      </c>
      <c r="F36">
        <f t="shared" si="10"/>
        <v>5</v>
      </c>
      <c r="G36">
        <v>59</v>
      </c>
      <c r="H36" t="str">
        <f>Data!A37</f>
        <v>Neville</v>
      </c>
      <c r="I36" s="2" t="str">
        <f>Data!C37</f>
        <v>Raiders</v>
      </c>
      <c r="J36" s="2" t="str">
        <f>Data!D37</f>
        <v>Warriors</v>
      </c>
      <c r="K36" s="2" t="str">
        <f>Data!E37</f>
        <v>Dolphins</v>
      </c>
      <c r="L36" s="2" t="str">
        <f>IF(Data!$S$3&lt;Engine!L$1,0,Data!F37)</f>
        <v>Storm</v>
      </c>
      <c r="M36" s="2" t="str">
        <f>IF(Data!$S$3&lt;Engine!M$1,0,Data!G37)</f>
        <v>Broncos</v>
      </c>
      <c r="N36" s="2" t="str">
        <f>IF(Data!$S$3&lt;Engine!N$1,0,Data!H37)</f>
        <v>Roosters</v>
      </c>
      <c r="O36" s="2" t="str">
        <f>IF(Data!$S$3&lt;Engine!O$1,0,Data!I37)</f>
        <v>Eels</v>
      </c>
      <c r="P36" s="2">
        <f>IF(Data!$S$3&lt;Engine!P$1,0,Data!J37)</f>
        <v>0</v>
      </c>
      <c r="Q36" s="11" t="str">
        <f>IF(Data!B37=1,Data!K37,"No Tips")</f>
        <v>Storm</v>
      </c>
      <c r="R36" s="2">
        <f>Data!L37</f>
        <v>73</v>
      </c>
      <c r="S36" s="2">
        <f>Data!M37</f>
        <v>2795</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16</v>
      </c>
      <c r="Y36">
        <f t="shared" si="15"/>
        <v>74</v>
      </c>
      <c r="Z36">
        <f t="shared" si="12"/>
        <v>2811</v>
      </c>
      <c r="AA36" s="111">
        <f t="shared" si="13"/>
        <v>74.028110058999999</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16</v>
      </c>
      <c r="AF36">
        <f>IF(I36="","",IF(Q36="",0,IF(AND(Q36&gt;0,COUNTIF('Stats Calculator'!$T$24:$AA$24,Q36)=1),HLOOKUP(Q36,'Stats Calculator'!$T$24:$AA$27,4,FALSE),IF(AND(Q36&gt;0,COUNTIF('Stats Calculator'!$T$25:$AA$25,Q36)=1),HLOOKUP(Q36,'Stats Calculator'!$T$25:$AA$27,3,FALSE)))))</f>
        <v>4</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6</v>
      </c>
      <c r="AJ36">
        <f>IF(I36="","",IF(AF36=0,0,IF(VLOOKUP(AF36,'Stats Calculator'!B$31:E$38,4,FALSE)&gt;0,0,2)))</f>
        <v>2</v>
      </c>
      <c r="AK36">
        <f>IF(I36="","",IF(Data!S$3-Engine!AI36=AG36,2,0))</f>
        <v>2</v>
      </c>
      <c r="AL36">
        <f t="shared" si="14"/>
        <v>11</v>
      </c>
    </row>
    <row r="37" spans="1:38" x14ac:dyDescent="0.35">
      <c r="A37">
        <v>36</v>
      </c>
      <c r="B37">
        <f t="shared" si="16"/>
        <v>39</v>
      </c>
      <c r="C37" s="111">
        <f t="shared" si="8"/>
        <v>62.027640057999996</v>
      </c>
      <c r="D37">
        <f t="shared" si="17"/>
        <v>40</v>
      </c>
      <c r="E37" s="3" t="str">
        <f t="shared" si="9"/>
        <v>q</v>
      </c>
      <c r="F37">
        <f t="shared" si="10"/>
        <v>1</v>
      </c>
      <c r="G37">
        <v>58</v>
      </c>
      <c r="H37" t="str">
        <f>Data!A38</f>
        <v>NotLast</v>
      </c>
      <c r="I37" s="2" t="str">
        <f>Data!C38</f>
        <v>Raiders</v>
      </c>
      <c r="J37" s="2" t="str">
        <f>Data!D38</f>
        <v>Warriors</v>
      </c>
      <c r="K37" s="2" t="str">
        <f>Data!E38</f>
        <v>Dolphins</v>
      </c>
      <c r="L37" s="2" t="str">
        <f>IF(Data!$S$3&lt;Engine!L$1,0,Data!F38)</f>
        <v>Storm</v>
      </c>
      <c r="M37" s="2" t="str">
        <f>IF(Data!$S$3&lt;Engine!M$1,0,Data!G38)</f>
        <v>Broncos</v>
      </c>
      <c r="N37" s="2" t="str">
        <f>IF(Data!$S$3&lt;Engine!N$1,0,Data!H38)</f>
        <v>Roosters</v>
      </c>
      <c r="O37" s="2" t="str">
        <f>IF(Data!$S$3&lt;Engine!O$1,0,Data!I38)</f>
        <v>Eels</v>
      </c>
      <c r="P37" s="2">
        <f>IF(Data!$S$3&lt;Engine!P$1,0,Data!J38)</f>
        <v>0</v>
      </c>
      <c r="Q37" s="11" t="str">
        <f>IF(Data!B38=1,Data!K38,"No Tips")</f>
        <v>Dolphins</v>
      </c>
      <c r="R37" s="2">
        <f>Data!L38</f>
        <v>62</v>
      </c>
      <c r="S37" s="2">
        <f>Data!M38</f>
        <v>2764</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Y37">
        <f t="shared" si="15"/>
        <v>63</v>
      </c>
      <c r="Z37">
        <f t="shared" si="12"/>
        <v>2780</v>
      </c>
      <c r="AA37" s="111">
        <f t="shared" si="13"/>
        <v>63.027800057999997</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16</v>
      </c>
      <c r="AF37">
        <f>IF(I37="","",IF(Q37="",0,IF(AND(Q37&gt;0,COUNTIF('Stats Calculator'!$T$24:$AA$24,Q37)=1),HLOOKUP(Q37,'Stats Calculator'!$T$24:$AA$27,4,FALSE),IF(AND(Q37&gt;0,COUNTIF('Stats Calculator'!$T$25:$AA$25,Q37)=1),HLOOKUP(Q37,'Stats Calculator'!$T$25:$AA$27,3,FALSE)))))</f>
        <v>3</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6</v>
      </c>
      <c r="AJ37">
        <f>IF(I37="","",IF(AF37=0,0,IF(VLOOKUP(AF37,'Stats Calculator'!B$31:E$38,4,FALSE)&gt;0,0,2)))</f>
        <v>2</v>
      </c>
      <c r="AK37">
        <f>IF(I37="","",IF(Data!S$3-Engine!AI37=AG37,2,0))</f>
        <v>2</v>
      </c>
      <c r="AL37">
        <f t="shared" si="14"/>
        <v>11</v>
      </c>
    </row>
    <row r="38" spans="1:38" x14ac:dyDescent="0.35">
      <c r="A38">
        <v>37</v>
      </c>
      <c r="B38">
        <f t="shared" si="16"/>
        <v>21</v>
      </c>
      <c r="C38" s="111">
        <f t="shared" si="8"/>
        <v>72.028010056999989</v>
      </c>
      <c r="D38">
        <f t="shared" si="17"/>
        <v>19</v>
      </c>
      <c r="E38" s="3" t="str">
        <f t="shared" si="9"/>
        <v>p</v>
      </c>
      <c r="F38">
        <f t="shared" si="10"/>
        <v>2</v>
      </c>
      <c r="G38">
        <v>57</v>
      </c>
      <c r="H38" t="str">
        <f>Data!A39</f>
        <v>Pablo</v>
      </c>
      <c r="I38" s="2" t="str">
        <f>Data!C39</f>
        <v>Raiders</v>
      </c>
      <c r="J38" s="2" t="str">
        <f>Data!D39</f>
        <v>Warriors</v>
      </c>
      <c r="K38" s="2" t="str">
        <f>Data!E39</f>
        <v>Dolphins</v>
      </c>
      <c r="L38" s="2" t="str">
        <f>IF(Data!$S$3&lt;Engine!L$1,0,Data!F39)</f>
        <v>Storm</v>
      </c>
      <c r="M38" s="2" t="str">
        <f>IF(Data!$S$3&lt;Engine!M$1,0,Data!G39)</f>
        <v>Sharks</v>
      </c>
      <c r="N38" s="2" t="str">
        <f>IF(Data!$S$3&lt;Engine!N$1,0,Data!H39)</f>
        <v>Roosters</v>
      </c>
      <c r="O38" s="2" t="str">
        <f>IF(Data!$S$3&lt;Engine!O$1,0,Data!I39)</f>
        <v>Eels</v>
      </c>
      <c r="P38" s="2">
        <f>IF(Data!$S$3&lt;Engine!P$1,0,Data!J39)</f>
        <v>0</v>
      </c>
      <c r="Q38" s="11" t="str">
        <f>IF(Data!B39=1,Data!K39,"No Tips")</f>
        <v>Raiders</v>
      </c>
      <c r="R38" s="2">
        <f>Data!L39</f>
        <v>72</v>
      </c>
      <c r="S38" s="2">
        <f>Data!M39</f>
        <v>2801</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2</v>
      </c>
      <c r="V38" s="1">
        <f>IF(I38="","",IF(T38=Data!S$3,2,0))</f>
        <v>0</v>
      </c>
      <c r="W38" s="1">
        <f t="shared" si="11"/>
        <v>3</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16</v>
      </c>
      <c r="Y38">
        <f t="shared" si="15"/>
        <v>75</v>
      </c>
      <c r="Z38">
        <f t="shared" si="12"/>
        <v>2817</v>
      </c>
      <c r="AA38" s="111">
        <f t="shared" si="13"/>
        <v>75.028170056999997</v>
      </c>
      <c r="AB38">
        <f t="shared" si="6"/>
        <v>3</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16</v>
      </c>
      <c r="AF38">
        <f>IF(I38="","",IF(Q38="",0,IF(AND(Q38&gt;0,COUNTIF('Stats Calculator'!$T$24:$AA$24,Q38)=1),HLOOKUP(Q38,'Stats Calculator'!$T$24:$AA$27,4,FALSE),IF(AND(Q38&gt;0,COUNTIF('Stats Calculator'!$T$25:$AA$25,Q38)=1),HLOOKUP(Q38,'Stats Calculator'!$T$25:$AA$27,3,FALSE)))))</f>
        <v>1</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2</v>
      </c>
      <c r="AI38">
        <f>IF(I38="","",Data!S$3-COUNTA('Stats Calculator'!E$31:E$38))</f>
        <v>6</v>
      </c>
      <c r="AJ38">
        <f>IF(I38="","",IF(AF38=0,0,IF(VLOOKUP(AF38,'Stats Calculator'!B$31:E$38,4,FALSE)&gt;0,0,2)))</f>
        <v>0</v>
      </c>
      <c r="AK38">
        <f>IF(I38="","",IF(Data!S$3-Engine!AI38=AG38,2,0))</f>
        <v>2</v>
      </c>
      <c r="AL38">
        <f t="shared" si="14"/>
        <v>11</v>
      </c>
    </row>
    <row r="39" spans="1:38" x14ac:dyDescent="0.35">
      <c r="A39">
        <v>38</v>
      </c>
      <c r="B39">
        <f t="shared" si="16"/>
        <v>12</v>
      </c>
      <c r="C39" s="111">
        <f t="shared" si="8"/>
        <v>75.028730056000001</v>
      </c>
      <c r="D39">
        <f t="shared" si="17"/>
        <v>11</v>
      </c>
      <c r="E39" s="3" t="str">
        <f t="shared" si="9"/>
        <v>p</v>
      </c>
      <c r="F39">
        <f t="shared" si="10"/>
        <v>1</v>
      </c>
      <c r="G39">
        <v>56</v>
      </c>
      <c r="H39" t="str">
        <f>Data!A40</f>
        <v>Panthers29</v>
      </c>
      <c r="I39" s="2" t="str">
        <f>Data!C40</f>
        <v>Raiders</v>
      </c>
      <c r="J39" s="2" t="str">
        <f>Data!D40</f>
        <v>Warriors</v>
      </c>
      <c r="K39" s="2" t="str">
        <f>Data!E40</f>
        <v>Dolphins</v>
      </c>
      <c r="L39" s="2" t="str">
        <f>IF(Data!$S$3&lt;Engine!L$1,0,Data!F40)</f>
        <v>Storm</v>
      </c>
      <c r="M39" s="2" t="str">
        <f>IF(Data!$S$3&lt;Engine!M$1,0,Data!G40)</f>
        <v>Broncos</v>
      </c>
      <c r="N39" s="2" t="str">
        <f>IF(Data!$S$3&lt;Engine!N$1,0,Data!H40)</f>
        <v>Roosters</v>
      </c>
      <c r="O39" s="2" t="str">
        <f>IF(Data!$S$3&lt;Engine!O$1,0,Data!I40)</f>
        <v>Eels</v>
      </c>
      <c r="P39" s="2">
        <f>IF(Data!$S$3&lt;Engine!P$1,0,Data!J40)</f>
        <v>0</v>
      </c>
      <c r="Q39" s="11" t="str">
        <f>IF(Data!B40=1,Data!K40,"No Tips")</f>
        <v>Raiders</v>
      </c>
      <c r="R39" s="2">
        <f>Data!L40</f>
        <v>75</v>
      </c>
      <c r="S39" s="2">
        <f>Data!M40</f>
        <v>2873</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2</v>
      </c>
      <c r="V39" s="1">
        <f>IF(I39="","",IF(T39=Data!S$3,2,0))</f>
        <v>0</v>
      </c>
      <c r="W39" s="1">
        <f t="shared" si="11"/>
        <v>3</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Y39">
        <f t="shared" si="15"/>
        <v>78</v>
      </c>
      <c r="Z39">
        <f t="shared" si="12"/>
        <v>2889</v>
      </c>
      <c r="AA39" s="111">
        <f t="shared" si="13"/>
        <v>78.028890056000009</v>
      </c>
      <c r="AB39">
        <f t="shared" si="6"/>
        <v>3</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16</v>
      </c>
      <c r="AF39">
        <f>IF(I39="","",IF(Q39="",0,IF(AND(Q39&gt;0,COUNTIF('Stats Calculator'!$T$24:$AA$24,Q39)=1),HLOOKUP(Q39,'Stats Calculator'!$T$24:$AA$27,4,FALSE),IF(AND(Q39&gt;0,COUNTIF('Stats Calculator'!$T$25:$AA$25,Q39)=1),HLOOKUP(Q39,'Stats Calculator'!$T$25:$AA$27,3,FALSE)))))</f>
        <v>1</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2</v>
      </c>
      <c r="AI39">
        <f>IF(I39="","",Data!S$3-COUNTA('Stats Calculator'!E$31:E$38))</f>
        <v>6</v>
      </c>
      <c r="AJ39">
        <f>IF(I39="","",IF(AF39=0,0,IF(VLOOKUP(AF39,'Stats Calculator'!B$31:E$38,4,FALSE)&gt;0,0,2)))</f>
        <v>0</v>
      </c>
      <c r="AK39">
        <f>IF(I39="","",IF(Data!S$3-Engine!AI39=AG39,2,0))</f>
        <v>2</v>
      </c>
      <c r="AL39">
        <f t="shared" si="14"/>
        <v>11</v>
      </c>
    </row>
    <row r="40" spans="1:38" x14ac:dyDescent="0.35">
      <c r="A40">
        <v>39</v>
      </c>
      <c r="B40">
        <f t="shared" si="16"/>
        <v>27</v>
      </c>
      <c r="C40" s="111">
        <f t="shared" si="8"/>
        <v>70.027960054999994</v>
      </c>
      <c r="D40">
        <f t="shared" si="17"/>
        <v>28</v>
      </c>
      <c r="E40" s="3" t="str">
        <f t="shared" si="9"/>
        <v>q</v>
      </c>
      <c r="F40">
        <f t="shared" si="10"/>
        <v>1</v>
      </c>
      <c r="G40">
        <v>55</v>
      </c>
      <c r="H40" t="str">
        <f>Data!A41</f>
        <v>Robert Cook</v>
      </c>
      <c r="I40" s="2" t="str">
        <f>Data!C41</f>
        <v>Raiders</v>
      </c>
      <c r="J40" s="2" t="str">
        <f>Data!D41</f>
        <v>Warriors</v>
      </c>
      <c r="K40" s="2" t="str">
        <f>Data!E41</f>
        <v>Dolphins</v>
      </c>
      <c r="L40" s="2" t="str">
        <f>IF(Data!$S$3&lt;Engine!L$1,0,Data!F41)</f>
        <v>Storm</v>
      </c>
      <c r="M40" s="2" t="str">
        <f>IF(Data!$S$3&lt;Engine!M$1,0,Data!G41)</f>
        <v>Broncos</v>
      </c>
      <c r="N40" s="2" t="str">
        <f>IF(Data!$S$3&lt;Engine!N$1,0,Data!H41)</f>
        <v>Roosters</v>
      </c>
      <c r="O40" s="2" t="str">
        <f>IF(Data!$S$3&lt;Engine!O$1,0,Data!I41)</f>
        <v>Eels</v>
      </c>
      <c r="P40" s="2">
        <f>IF(Data!$S$3&lt;Engine!P$1,0,Data!J41)</f>
        <v>0</v>
      </c>
      <c r="Q40" s="11" t="str">
        <f>IF(Data!B41=1,Data!K41,"No Tips")</f>
        <v>Dolphins</v>
      </c>
      <c r="R40" s="2">
        <f>Data!L41</f>
        <v>70</v>
      </c>
      <c r="S40" s="2">
        <f>Data!M41</f>
        <v>2796</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16</v>
      </c>
      <c r="Y40">
        <f t="shared" si="15"/>
        <v>71</v>
      </c>
      <c r="Z40">
        <f t="shared" si="12"/>
        <v>2812</v>
      </c>
      <c r="AA40" s="111">
        <f t="shared" si="13"/>
        <v>71.028120055000002</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16</v>
      </c>
      <c r="AF40">
        <f>IF(I40="","",IF(Q40="",0,IF(AND(Q40&gt;0,COUNTIF('Stats Calculator'!$T$24:$AA$24,Q40)=1),HLOOKUP(Q40,'Stats Calculator'!$T$24:$AA$27,4,FALSE),IF(AND(Q40&gt;0,COUNTIF('Stats Calculator'!$T$25:$AA$25,Q40)=1),HLOOKUP(Q40,'Stats Calculator'!$T$25:$AA$27,3,FALSE)))))</f>
        <v>3</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6</v>
      </c>
      <c r="AJ40">
        <f>IF(I40="","",IF(AF40=0,0,IF(VLOOKUP(AF40,'Stats Calculator'!B$31:E$38,4,FALSE)&gt;0,0,2)))</f>
        <v>2</v>
      </c>
      <c r="AK40">
        <f>IF(I40="","",IF(Data!S$3-Engine!AI40=AG40,2,0))</f>
        <v>2</v>
      </c>
      <c r="AL40">
        <f t="shared" si="14"/>
        <v>11</v>
      </c>
    </row>
    <row r="41" spans="1:38" x14ac:dyDescent="0.35">
      <c r="A41">
        <v>40</v>
      </c>
      <c r="B41">
        <f t="shared" si="16"/>
        <v>1</v>
      </c>
      <c r="C41" s="111">
        <f t="shared" si="8"/>
        <v>87.028260054</v>
      </c>
      <c r="D41">
        <f t="shared" si="17"/>
        <v>1</v>
      </c>
      <c r="E41" s="3" t="str">
        <f t="shared" si="9"/>
        <v>u</v>
      </c>
      <c r="F41" t="str">
        <f t="shared" si="10"/>
        <v/>
      </c>
      <c r="G41">
        <v>54</v>
      </c>
      <c r="H41" t="str">
        <f>Data!A42</f>
        <v>Rossco the Pom</v>
      </c>
      <c r="I41" s="2" t="str">
        <f>Data!C42</f>
        <v>Raiders</v>
      </c>
      <c r="J41" s="2" t="str">
        <f>Data!D42</f>
        <v>Warriors</v>
      </c>
      <c r="K41" s="2" t="str">
        <f>Data!E42</f>
        <v>Dolphins</v>
      </c>
      <c r="L41" s="2" t="str">
        <f>IF(Data!$S$3&lt;Engine!L$1,0,Data!F42)</f>
        <v>Storm</v>
      </c>
      <c r="M41" s="2" t="str">
        <f>IF(Data!$S$3&lt;Engine!M$1,0,Data!G42)</f>
        <v>Broncos</v>
      </c>
      <c r="N41" s="2" t="str">
        <f>IF(Data!$S$3&lt;Engine!N$1,0,Data!H42)</f>
        <v>Roosters</v>
      </c>
      <c r="O41" s="2" t="str">
        <f>IF(Data!$S$3&lt;Engine!O$1,0,Data!I42)</f>
        <v>Titans</v>
      </c>
      <c r="P41" s="2">
        <f>IF(Data!$S$3&lt;Engine!P$1,0,Data!J42)</f>
        <v>0</v>
      </c>
      <c r="Q41" s="11" t="str">
        <f>IF(Data!B42=1,Data!K42,"No Tips")</f>
        <v>Dolphins</v>
      </c>
      <c r="R41" s="2">
        <f>Data!L42</f>
        <v>87</v>
      </c>
      <c r="S41" s="2">
        <f>Data!M42</f>
        <v>2826</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0</v>
      </c>
      <c r="V41" s="1">
        <f>IF(I41="","",IF(T41=Data!S$3,2,0))</f>
        <v>0</v>
      </c>
      <c r="W41" s="1">
        <f t="shared" si="11"/>
        <v>1</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16</v>
      </c>
      <c r="Y41">
        <f t="shared" si="15"/>
        <v>88</v>
      </c>
      <c r="Z41">
        <f t="shared" si="12"/>
        <v>2842</v>
      </c>
      <c r="AA41" s="111">
        <f t="shared" si="13"/>
        <v>88.028420053999994</v>
      </c>
      <c r="AB41">
        <f t="shared" si="6"/>
        <v>1</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16</v>
      </c>
      <c r="AF41">
        <f>IF(I41="","",IF(Q41="",0,IF(AND(Q41&gt;0,COUNTIF('Stats Calculator'!$T$24:$AA$24,Q41)=1),HLOOKUP(Q41,'Stats Calculator'!$T$24:$AA$27,4,FALSE),IF(AND(Q41&gt;0,COUNTIF('Stats Calculator'!$T$25:$AA$25,Q41)=1),HLOOKUP(Q41,'Stats Calculator'!$T$25:$AA$27,3,FALSE)))))</f>
        <v>3</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0</v>
      </c>
      <c r="AI41">
        <f>IF(I41="","",Data!S$3-COUNTA('Stats Calculator'!E$31:E$38))</f>
        <v>6</v>
      </c>
      <c r="AJ41">
        <f>IF(I41="","",IF(AF41=0,0,IF(VLOOKUP(AF41,'Stats Calculator'!B$31:E$38,4,FALSE)&gt;0,0,2)))</f>
        <v>2</v>
      </c>
      <c r="AK41">
        <f>IF(I41="","",IF(Data!S$3-Engine!AI41=AG41,2,0))</f>
        <v>2</v>
      </c>
      <c r="AL41">
        <f t="shared" si="14"/>
        <v>11</v>
      </c>
    </row>
    <row r="42" spans="1:38" x14ac:dyDescent="0.35">
      <c r="A42">
        <v>41</v>
      </c>
      <c r="B42">
        <f t="shared" si="16"/>
        <v>14</v>
      </c>
      <c r="C42" s="111">
        <f t="shared" si="8"/>
        <v>74.028770052999988</v>
      </c>
      <c r="D42">
        <f t="shared" si="17"/>
        <v>14</v>
      </c>
      <c r="E42" s="3" t="str">
        <f t="shared" si="9"/>
        <v>u</v>
      </c>
      <c r="F42" t="str">
        <f t="shared" si="10"/>
        <v/>
      </c>
      <c r="G42">
        <v>53</v>
      </c>
      <c r="H42" t="str">
        <f>Data!A43</f>
        <v>Runner</v>
      </c>
      <c r="I42" s="2" t="str">
        <f>Data!C43</f>
        <v>Raiders</v>
      </c>
      <c r="J42" s="2" t="str">
        <f>Data!D43</f>
        <v>Warriors</v>
      </c>
      <c r="K42" s="2" t="str">
        <f>Data!E43</f>
        <v>Dolphins</v>
      </c>
      <c r="L42" s="2" t="str">
        <f>IF(Data!$S$3&lt;Engine!L$1,0,Data!F43)</f>
        <v>Storm</v>
      </c>
      <c r="M42" s="2" t="str">
        <f>IF(Data!$S$3&lt;Engine!M$1,0,Data!G43)</f>
        <v>Broncos</v>
      </c>
      <c r="N42" s="2" t="str">
        <f>IF(Data!$S$3&lt;Engine!N$1,0,Data!H43)</f>
        <v>Roosters</v>
      </c>
      <c r="O42" s="2" t="str">
        <f>IF(Data!$S$3&lt;Engine!O$1,0,Data!I43)</f>
        <v>Eels</v>
      </c>
      <c r="P42" s="2">
        <f>IF(Data!$S$3&lt;Engine!P$1,0,Data!J43)</f>
        <v>0</v>
      </c>
      <c r="Q42" s="11" t="str">
        <f>IF(Data!B43=1,Data!K43,"No Tips")</f>
        <v>Raiders</v>
      </c>
      <c r="R42" s="2">
        <f>Data!L43</f>
        <v>74</v>
      </c>
      <c r="S42" s="2">
        <f>Data!M43</f>
        <v>2877</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2</v>
      </c>
      <c r="V42" s="1">
        <f>IF(I42="","",IF(T42=Data!S$3,2,0))</f>
        <v>0</v>
      </c>
      <c r="W42" s="1">
        <f t="shared" si="11"/>
        <v>3</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16</v>
      </c>
      <c r="Y42">
        <f t="shared" si="15"/>
        <v>77</v>
      </c>
      <c r="Z42">
        <f t="shared" si="12"/>
        <v>2893</v>
      </c>
      <c r="AA42" s="111">
        <f t="shared" si="13"/>
        <v>77.028930052999996</v>
      </c>
      <c r="AB42">
        <f t="shared" si="6"/>
        <v>3</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16</v>
      </c>
      <c r="AF42">
        <f>IF(I42="","",IF(Q42="",0,IF(AND(Q42&gt;0,COUNTIF('Stats Calculator'!$T$24:$AA$24,Q42)=1),HLOOKUP(Q42,'Stats Calculator'!$T$24:$AA$27,4,FALSE),IF(AND(Q42&gt;0,COUNTIF('Stats Calculator'!$T$25:$AA$25,Q42)=1),HLOOKUP(Q42,'Stats Calculator'!$T$25:$AA$27,3,FALSE)))))</f>
        <v>1</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2</v>
      </c>
      <c r="AI42">
        <f>IF(I42="","",Data!S$3-COUNTA('Stats Calculator'!E$31:E$38))</f>
        <v>6</v>
      </c>
      <c r="AJ42">
        <f>IF(I42="","",IF(AF42=0,0,IF(VLOOKUP(AF42,'Stats Calculator'!B$31:E$38,4,FALSE)&gt;0,0,2)))</f>
        <v>0</v>
      </c>
      <c r="AK42">
        <f>IF(I42="","",IF(Data!S$3-Engine!AI42=AG42,2,0))</f>
        <v>2</v>
      </c>
      <c r="AL42">
        <f t="shared" si="14"/>
        <v>11</v>
      </c>
    </row>
    <row r="43" spans="1:38" x14ac:dyDescent="0.35">
      <c r="A43">
        <v>42</v>
      </c>
      <c r="B43">
        <f t="shared" si="16"/>
        <v>4</v>
      </c>
      <c r="C43" s="111">
        <f t="shared" si="8"/>
        <v>82.02818005200001</v>
      </c>
      <c r="D43">
        <f t="shared" si="17"/>
        <v>5</v>
      </c>
      <c r="E43" s="3" t="str">
        <f t="shared" si="9"/>
        <v>q</v>
      </c>
      <c r="F43">
        <f t="shared" si="10"/>
        <v>1</v>
      </c>
      <c r="G43">
        <v>52</v>
      </c>
      <c r="H43" t="str">
        <f>Data!A44</f>
        <v>Seano</v>
      </c>
      <c r="I43" s="2" t="str">
        <f>Data!C44</f>
        <v>Raiders</v>
      </c>
      <c r="J43" s="2" t="str">
        <f>Data!D44</f>
        <v>Warriors</v>
      </c>
      <c r="K43" s="2" t="str">
        <f>Data!E44</f>
        <v>Dolphins</v>
      </c>
      <c r="L43" s="2" t="str">
        <f>IF(Data!$S$3&lt;Engine!L$1,0,Data!F44)</f>
        <v>Storm</v>
      </c>
      <c r="M43" s="2" t="str">
        <f>IF(Data!$S$3&lt;Engine!M$1,0,Data!G44)</f>
        <v>Broncos</v>
      </c>
      <c r="N43" s="2" t="str">
        <f>IF(Data!$S$3&lt;Engine!N$1,0,Data!H44)</f>
        <v>Roosters</v>
      </c>
      <c r="O43" s="2" t="str">
        <f>IF(Data!$S$3&lt;Engine!O$1,0,Data!I44)</f>
        <v>Titans</v>
      </c>
      <c r="P43" s="2">
        <f>IF(Data!$S$3&lt;Engine!P$1,0,Data!J44)</f>
        <v>0</v>
      </c>
      <c r="Q43" s="11" t="str">
        <f>IF(Data!B44=1,Data!K44,"No Tips")</f>
        <v>Warriors</v>
      </c>
      <c r="R43" s="2">
        <f>Data!L44</f>
        <v>82</v>
      </c>
      <c r="S43" s="2">
        <f>Data!M44</f>
        <v>2818</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0</v>
      </c>
      <c r="V43" s="1">
        <f>IF(I43="","",IF(T43=Data!S$3,2,0))</f>
        <v>0</v>
      </c>
      <c r="W43" s="1">
        <f t="shared" si="11"/>
        <v>1</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16</v>
      </c>
      <c r="Y43">
        <f t="shared" si="15"/>
        <v>83</v>
      </c>
      <c r="Z43">
        <f t="shared" si="12"/>
        <v>2834</v>
      </c>
      <c r="AA43" s="111">
        <f t="shared" si="13"/>
        <v>83.028340052000004</v>
      </c>
      <c r="AB43">
        <f t="shared" si="6"/>
        <v>1</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16</v>
      </c>
      <c r="AF43">
        <f>IF(I43="","",IF(Q43="",0,IF(AND(Q43&gt;0,COUNTIF('Stats Calculator'!$T$24:$AA$24,Q43)=1),HLOOKUP(Q43,'Stats Calculator'!$T$24:$AA$27,4,FALSE),IF(AND(Q43&gt;0,COUNTIF('Stats Calculator'!$T$25:$AA$25,Q43)=1),HLOOKUP(Q43,'Stats Calculator'!$T$25:$AA$27,3,FALSE)))))</f>
        <v>2</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0</v>
      </c>
      <c r="AI43">
        <f>IF(I43="","",Data!S$3-COUNTA('Stats Calculator'!E$31:E$38))</f>
        <v>6</v>
      </c>
      <c r="AJ43">
        <f>IF(I43="","",IF(AF43=0,0,IF(VLOOKUP(AF43,'Stats Calculator'!B$31:E$38,4,FALSE)&gt;0,0,2)))</f>
        <v>2</v>
      </c>
      <c r="AK43">
        <f>IF(I43="","",IF(Data!S$3-Engine!AI43=AG43,2,0))</f>
        <v>2</v>
      </c>
      <c r="AL43">
        <f t="shared" si="14"/>
        <v>11</v>
      </c>
    </row>
    <row r="44" spans="1:38" x14ac:dyDescent="0.35">
      <c r="A44">
        <v>43</v>
      </c>
      <c r="B44">
        <f t="shared" si="16"/>
        <v>37</v>
      </c>
      <c r="C44" s="111">
        <f t="shared" si="8"/>
        <v>64.027110050999994</v>
      </c>
      <c r="D44">
        <f t="shared" si="17"/>
        <v>37</v>
      </c>
      <c r="E44" s="3" t="str">
        <f t="shared" si="9"/>
        <v>u</v>
      </c>
      <c r="F44" t="str">
        <f t="shared" si="10"/>
        <v/>
      </c>
      <c r="G44">
        <v>51</v>
      </c>
      <c r="H44" t="str">
        <f>Data!A45</f>
        <v>Shagger</v>
      </c>
      <c r="I44" s="2" t="str">
        <f>Data!C45</f>
        <v>Raiders</v>
      </c>
      <c r="J44" s="2" t="str">
        <f>Data!D45</f>
        <v>Warriors</v>
      </c>
      <c r="K44" s="2" t="str">
        <f>Data!E45</f>
        <v>Dolphins</v>
      </c>
      <c r="L44" s="2" t="str">
        <f>IF(Data!$S$3&lt;Engine!L$1,0,Data!F45)</f>
        <v>Rabbitohs</v>
      </c>
      <c r="M44" s="2" t="str">
        <f>IF(Data!$S$3&lt;Engine!M$1,0,Data!G45)</f>
        <v>Sharks</v>
      </c>
      <c r="N44" s="2" t="str">
        <f>IF(Data!$S$3&lt;Engine!N$1,0,Data!H45)</f>
        <v>Roosters</v>
      </c>
      <c r="O44" s="2" t="str">
        <f>IF(Data!$S$3&lt;Engine!O$1,0,Data!I45)</f>
        <v>Eels</v>
      </c>
      <c r="P44" s="2">
        <f>IF(Data!$S$3&lt;Engine!P$1,0,Data!J45)</f>
        <v>0</v>
      </c>
      <c r="Q44" s="11" t="str">
        <f>IF(Data!B45=1,Data!K45,"No Tips")</f>
        <v>Eels</v>
      </c>
      <c r="R44" s="2">
        <f>Data!L45</f>
        <v>64</v>
      </c>
      <c r="S44" s="2">
        <f>Data!M45</f>
        <v>2711</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16</v>
      </c>
      <c r="Y44">
        <f t="shared" si="15"/>
        <v>65</v>
      </c>
      <c r="Z44">
        <f t="shared" si="12"/>
        <v>2727</v>
      </c>
      <c r="AA44" s="111">
        <f t="shared" si="13"/>
        <v>65.027270051000002</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16</v>
      </c>
      <c r="AF44">
        <f>IF(I44="","",IF(Q44="",0,IF(AND(Q44&gt;0,COUNTIF('Stats Calculator'!$T$24:$AA$24,Q44)=1),HLOOKUP(Q44,'Stats Calculator'!$T$24:$AA$27,4,FALSE),IF(AND(Q44&gt;0,COUNTIF('Stats Calculator'!$T$25:$AA$25,Q44)=1),HLOOKUP(Q44,'Stats Calculator'!$T$25:$AA$27,3,FALSE)))))</f>
        <v>7</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6</v>
      </c>
      <c r="AJ44">
        <f>IF(I44="","",IF(AF44=0,0,IF(VLOOKUP(AF44,'Stats Calculator'!B$31:E$38,4,FALSE)&gt;0,0,2)))</f>
        <v>2</v>
      </c>
      <c r="AK44">
        <f>IF(I44="","",IF(Data!S$3-Engine!AI44=AG44,2,0))</f>
        <v>2</v>
      </c>
      <c r="AL44">
        <f t="shared" si="14"/>
        <v>11</v>
      </c>
    </row>
    <row r="45" spans="1:38" x14ac:dyDescent="0.35">
      <c r="A45">
        <v>44</v>
      </c>
      <c r="B45">
        <f t="shared" si="16"/>
        <v>28</v>
      </c>
      <c r="C45" s="111">
        <f t="shared" si="8"/>
        <v>70.027190050000002</v>
      </c>
      <c r="D45">
        <f t="shared" si="17"/>
        <v>29</v>
      </c>
      <c r="E45" s="3" t="str">
        <f t="shared" si="9"/>
        <v>q</v>
      </c>
      <c r="F45">
        <f t="shared" si="10"/>
        <v>1</v>
      </c>
      <c r="G45">
        <v>50</v>
      </c>
      <c r="H45" t="str">
        <f>Data!A46</f>
        <v>SMOG</v>
      </c>
      <c r="I45" s="2" t="str">
        <f>Data!C46</f>
        <v>Raiders</v>
      </c>
      <c r="J45" s="2" t="str">
        <f>Data!D46</f>
        <v>Warriors</v>
      </c>
      <c r="K45" s="2" t="str">
        <f>Data!E46</f>
        <v>Dolphins</v>
      </c>
      <c r="L45" s="2" t="str">
        <f>IF(Data!$S$3&lt;Engine!L$1,0,Data!F46)</f>
        <v>Storm</v>
      </c>
      <c r="M45" s="2" t="str">
        <f>IF(Data!$S$3&lt;Engine!M$1,0,Data!G46)</f>
        <v>Sharks</v>
      </c>
      <c r="N45" s="2" t="str">
        <f>IF(Data!$S$3&lt;Engine!N$1,0,Data!H46)</f>
        <v>Roosters</v>
      </c>
      <c r="O45" s="2" t="str">
        <f>IF(Data!$S$3&lt;Engine!O$1,0,Data!I46)</f>
        <v>Titans</v>
      </c>
      <c r="P45" s="2">
        <f>IF(Data!$S$3&lt;Engine!P$1,0,Data!J46)</f>
        <v>0</v>
      </c>
      <c r="Q45" s="11" t="str">
        <f>IF(Data!B46=1,Data!K46,"No Tips")</f>
        <v>Warriors</v>
      </c>
      <c r="R45" s="2">
        <f>Data!L46</f>
        <v>70</v>
      </c>
      <c r="S45" s="2">
        <f>Data!M46</f>
        <v>2719</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16</v>
      </c>
      <c r="Y45">
        <f t="shared" si="15"/>
        <v>71</v>
      </c>
      <c r="Z45">
        <f t="shared" si="12"/>
        <v>2735</v>
      </c>
      <c r="AA45" s="111">
        <f t="shared" si="13"/>
        <v>71.027350049999995</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16</v>
      </c>
      <c r="AF45">
        <f>IF(I45="","",IF(Q45="",0,IF(AND(Q45&gt;0,COUNTIF('Stats Calculator'!$T$24:$AA$24,Q45)=1),HLOOKUP(Q45,'Stats Calculator'!$T$24:$AA$27,4,FALSE),IF(AND(Q45&gt;0,COUNTIF('Stats Calculator'!$T$25:$AA$25,Q45)=1),HLOOKUP(Q45,'Stats Calculator'!$T$25:$AA$27,3,FALSE)))))</f>
        <v>2</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6</v>
      </c>
      <c r="AJ45">
        <f>IF(I45="","",IF(AF45=0,0,IF(VLOOKUP(AF45,'Stats Calculator'!B$31:E$38,4,FALSE)&gt;0,0,2)))</f>
        <v>2</v>
      </c>
      <c r="AK45">
        <f>IF(I45="","",IF(Data!S$3-Engine!AI45=AG45,2,0))</f>
        <v>2</v>
      </c>
      <c r="AL45">
        <f t="shared" si="14"/>
        <v>11</v>
      </c>
    </row>
    <row r="46" spans="1:38" s="10" customFormat="1" x14ac:dyDescent="0.35">
      <c r="A46" s="10">
        <v>45</v>
      </c>
      <c r="B46" s="10">
        <f t="shared" si="16"/>
        <v>46</v>
      </c>
      <c r="C46" s="111">
        <f t="shared" si="8"/>
        <v>58.027590048999997</v>
      </c>
      <c r="D46" s="10">
        <f t="shared" si="17"/>
        <v>47</v>
      </c>
      <c r="E46" s="106" t="str">
        <f t="shared" si="9"/>
        <v>q</v>
      </c>
      <c r="F46" s="10">
        <f t="shared" si="10"/>
        <v>1</v>
      </c>
      <c r="G46">
        <v>49</v>
      </c>
      <c r="H46" t="str">
        <f>Data!A47</f>
        <v>Splinter</v>
      </c>
      <c r="I46" s="2" t="str">
        <f>Data!C47</f>
        <v>Raiders</v>
      </c>
      <c r="J46" s="2" t="str">
        <f>Data!D47</f>
        <v>Warriors</v>
      </c>
      <c r="K46" s="2" t="str">
        <f>Data!E47</f>
        <v>Dolphins</v>
      </c>
      <c r="L46" s="2" t="str">
        <f>IF(Data!$S$3&lt;Engine!L$1,0,Data!F47)</f>
        <v>Storm</v>
      </c>
      <c r="M46" s="2" t="str">
        <f>IF(Data!$S$3&lt;Engine!M$1,0,Data!G47)</f>
        <v>Broncos</v>
      </c>
      <c r="N46" s="2" t="str">
        <f>IF(Data!$S$3&lt;Engine!N$1,0,Data!H47)</f>
        <v>Cowboys</v>
      </c>
      <c r="O46" s="2" t="str">
        <f>IF(Data!$S$3&lt;Engine!O$1,0,Data!I47)</f>
        <v>Titans</v>
      </c>
      <c r="P46" s="2">
        <f>IF(Data!$S$3&lt;Engine!P$1,0,Data!J47)</f>
        <v>0</v>
      </c>
      <c r="Q46" s="11" t="str">
        <f>IF(Data!B47=1,Data!K47,"No Tips")</f>
        <v>Storm</v>
      </c>
      <c r="R46" s="2">
        <f>Data!L47</f>
        <v>58</v>
      </c>
      <c r="S46" s="2">
        <f>Data!M47</f>
        <v>2759</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16</v>
      </c>
      <c r="Y46" s="10">
        <f t="shared" si="15"/>
        <v>59</v>
      </c>
      <c r="Z46" s="10">
        <f t="shared" si="12"/>
        <v>2775</v>
      </c>
      <c r="AA46" s="111">
        <f t="shared" si="13"/>
        <v>59.027750048999998</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16</v>
      </c>
      <c r="AF46" s="10">
        <f>IF(I46="","",IF(Q46="",0,IF(AND(Q46&gt;0,COUNTIF('Stats Calculator'!$T$24:$AA$24,Q46)=1),HLOOKUP(Q46,'Stats Calculator'!$T$24:$AA$27,4,FALSE),IF(AND(Q46&gt;0,COUNTIF('Stats Calculator'!$T$25:$AA$25,Q46)=1),HLOOKUP(Q46,'Stats Calculator'!$T$25:$AA$27,3,FALSE)))))</f>
        <v>4</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6</v>
      </c>
      <c r="AJ46" s="10">
        <f>IF(I46="","",IF(AF46=0,0,IF(VLOOKUP(AF46,'Stats Calculator'!B$31:E$38,4,FALSE)&gt;0,0,2)))</f>
        <v>2</v>
      </c>
      <c r="AK46" s="10">
        <f>IF(I46="","",IF(Data!S$3-Engine!AI46=AG46,2,0))</f>
        <v>2</v>
      </c>
      <c r="AL46" s="10">
        <f t="shared" si="14"/>
        <v>11</v>
      </c>
    </row>
    <row r="47" spans="1:38" x14ac:dyDescent="0.35">
      <c r="A47">
        <v>46</v>
      </c>
      <c r="B47">
        <f t="shared" si="16"/>
        <v>31</v>
      </c>
      <c r="C47" s="111">
        <f t="shared" si="8"/>
        <v>68.026990048000002</v>
      </c>
      <c r="D47">
        <f t="shared" si="17"/>
        <v>33</v>
      </c>
      <c r="E47" s="3" t="str">
        <f t="shared" si="9"/>
        <v>q</v>
      </c>
      <c r="F47">
        <f t="shared" si="10"/>
        <v>2</v>
      </c>
      <c r="G47">
        <v>48</v>
      </c>
      <c r="H47" t="str">
        <f>Data!A48</f>
        <v>Stallion</v>
      </c>
      <c r="I47" s="2" t="str">
        <f>Data!C48</f>
        <v>Raiders</v>
      </c>
      <c r="J47" s="2" t="str">
        <f>Data!D48</f>
        <v>Warriors</v>
      </c>
      <c r="K47" s="2" t="str">
        <f>Data!E48</f>
        <v>Dolphins</v>
      </c>
      <c r="L47" s="2" t="str">
        <f>IF(Data!$S$3&lt;Engine!L$1,0,Data!F48)</f>
        <v>Storm</v>
      </c>
      <c r="M47" s="2" t="str">
        <f>IF(Data!$S$3&lt;Engine!M$1,0,Data!G48)</f>
        <v>Sharks</v>
      </c>
      <c r="N47" s="2" t="str">
        <f>IF(Data!$S$3&lt;Engine!N$1,0,Data!H48)</f>
        <v>Roosters</v>
      </c>
      <c r="O47" s="2" t="str">
        <f>IF(Data!$S$3&lt;Engine!O$1,0,Data!I48)</f>
        <v>Eels</v>
      </c>
      <c r="P47" s="2">
        <f>IF(Data!$S$3&lt;Engine!P$1,0,Data!J48)</f>
        <v>0</v>
      </c>
      <c r="Q47" s="11" t="str">
        <f>IF(Data!B48=1,Data!K48,"No Tips")</f>
        <v>Storm</v>
      </c>
      <c r="R47" s="2">
        <f>Data!L48</f>
        <v>68</v>
      </c>
      <c r="S47" s="2">
        <f>Data!M48</f>
        <v>2699</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0</v>
      </c>
      <c r="V47" s="1">
        <f>IF(I47="","",IF(T47=Data!S$3,2,0))</f>
        <v>0</v>
      </c>
      <c r="W47" s="1">
        <f t="shared" si="11"/>
        <v>1</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16</v>
      </c>
      <c r="Y47">
        <f t="shared" si="15"/>
        <v>69</v>
      </c>
      <c r="Z47">
        <f t="shared" si="12"/>
        <v>2715</v>
      </c>
      <c r="AA47" s="111">
        <f t="shared" si="13"/>
        <v>69.02715004800001</v>
      </c>
      <c r="AB47">
        <f t="shared" si="6"/>
        <v>1</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16</v>
      </c>
      <c r="AF47">
        <f>IF(I47="","",IF(Q47="",0,IF(AND(Q47&gt;0,COUNTIF('Stats Calculator'!$T$24:$AA$24,Q47)=1),HLOOKUP(Q47,'Stats Calculator'!$T$24:$AA$27,4,FALSE),IF(AND(Q47&gt;0,COUNTIF('Stats Calculator'!$T$25:$AA$25,Q47)=1),HLOOKUP(Q47,'Stats Calculator'!$T$25:$AA$27,3,FALSE)))))</f>
        <v>4</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0</v>
      </c>
      <c r="AI47">
        <f>IF(I47="","",Data!S$3-COUNTA('Stats Calculator'!E$31:E$38))</f>
        <v>6</v>
      </c>
      <c r="AJ47">
        <f>IF(I47="","",IF(AF47=0,0,IF(VLOOKUP(AF47,'Stats Calculator'!B$31:E$38,4,FALSE)&gt;0,0,2)))</f>
        <v>2</v>
      </c>
      <c r="AK47">
        <f>IF(I47="","",IF(Data!S$3-Engine!AI47=AG47,2,0))</f>
        <v>2</v>
      </c>
      <c r="AL47">
        <f t="shared" si="14"/>
        <v>11</v>
      </c>
    </row>
    <row r="48" spans="1:38" x14ac:dyDescent="0.35">
      <c r="A48">
        <v>47</v>
      </c>
      <c r="B48">
        <f t="shared" si="16"/>
        <v>19</v>
      </c>
      <c r="C48" s="111">
        <f t="shared" si="8"/>
        <v>73.027860047000004</v>
      </c>
      <c r="D48">
        <f t="shared" si="17"/>
        <v>17</v>
      </c>
      <c r="E48" s="3" t="str">
        <f t="shared" si="9"/>
        <v>p</v>
      </c>
      <c r="F48">
        <f t="shared" si="10"/>
        <v>2</v>
      </c>
      <c r="G48">
        <v>47</v>
      </c>
      <c r="H48" t="str">
        <f>Data!A49</f>
        <v>The Creator</v>
      </c>
      <c r="I48" s="2" t="str">
        <f>Data!C49</f>
        <v>Raiders</v>
      </c>
      <c r="J48" s="2" t="str">
        <f>Data!D49</f>
        <v>Warriors</v>
      </c>
      <c r="K48" s="2" t="str">
        <f>Data!E49</f>
        <v>Dolphins</v>
      </c>
      <c r="L48" s="2" t="str">
        <f>IF(Data!$S$3&lt;Engine!L$1,0,Data!F49)</f>
        <v>Storm</v>
      </c>
      <c r="M48" s="2" t="str">
        <f>IF(Data!$S$3&lt;Engine!M$1,0,Data!G49)</f>
        <v>Broncos</v>
      </c>
      <c r="N48" s="2" t="str">
        <f>IF(Data!$S$3&lt;Engine!N$1,0,Data!H49)</f>
        <v>Roosters</v>
      </c>
      <c r="O48" s="2" t="str">
        <f>IF(Data!$S$3&lt;Engine!O$1,0,Data!I49)</f>
        <v>Titans</v>
      </c>
      <c r="P48" s="2">
        <f>IF(Data!$S$3&lt;Engine!P$1,0,Data!J49)</f>
        <v>0</v>
      </c>
      <c r="Q48" s="11" t="str">
        <f>IF(Data!B49=1,Data!K49,"No Tips")</f>
        <v>Raiders</v>
      </c>
      <c r="R48" s="2">
        <f>Data!L49</f>
        <v>73</v>
      </c>
      <c r="S48" s="2">
        <f>Data!M49</f>
        <v>2786</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2</v>
      </c>
      <c r="V48" s="1">
        <f>IF(I48="","",IF(T48=Data!S$3,2,0))</f>
        <v>0</v>
      </c>
      <c r="W48" s="1">
        <f t="shared" si="11"/>
        <v>3</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Y48">
        <f t="shared" si="15"/>
        <v>76</v>
      </c>
      <c r="Z48">
        <f t="shared" si="12"/>
        <v>2802</v>
      </c>
      <c r="AA48" s="111">
        <f t="shared" si="13"/>
        <v>76.028020046999998</v>
      </c>
      <c r="AB48">
        <f t="shared" si="6"/>
        <v>3</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16</v>
      </c>
      <c r="AF48">
        <f>IF(I48="","",IF(Q48="",0,IF(AND(Q48&gt;0,COUNTIF('Stats Calculator'!$T$24:$AA$24,Q48)=1),HLOOKUP(Q48,'Stats Calculator'!$T$24:$AA$27,4,FALSE),IF(AND(Q48&gt;0,COUNTIF('Stats Calculator'!$T$25:$AA$25,Q48)=1),HLOOKUP(Q48,'Stats Calculator'!$T$25:$AA$27,3,FALSE)))))</f>
        <v>1</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2</v>
      </c>
      <c r="AI48">
        <f>IF(I48="","",Data!S$3-COUNTA('Stats Calculator'!E$31:E$38))</f>
        <v>6</v>
      </c>
      <c r="AJ48">
        <f>IF(I48="","",IF(AF48=0,0,IF(VLOOKUP(AF48,'Stats Calculator'!B$31:E$38,4,FALSE)&gt;0,0,2)))</f>
        <v>0</v>
      </c>
      <c r="AK48">
        <f>IF(I48="","",IF(Data!S$3-Engine!AI48=AG48,2,0))</f>
        <v>2</v>
      </c>
      <c r="AL48">
        <f t="shared" si="14"/>
        <v>11</v>
      </c>
    </row>
    <row r="49" spans="1:38" s="10" customFormat="1" x14ac:dyDescent="0.35">
      <c r="A49">
        <v>48</v>
      </c>
      <c r="B49">
        <f t="shared" si="16"/>
        <v>22</v>
      </c>
      <c r="C49" s="111">
        <f t="shared" si="8"/>
        <v>72.027810045999999</v>
      </c>
      <c r="D49">
        <f t="shared" si="17"/>
        <v>24</v>
      </c>
      <c r="E49" s="3" t="str">
        <f t="shared" si="9"/>
        <v>q</v>
      </c>
      <c r="F49">
        <f t="shared" si="10"/>
        <v>2</v>
      </c>
      <c r="G49">
        <v>46</v>
      </c>
      <c r="H49" t="str">
        <f>Data!A50</f>
        <v>TheZipZipMan</v>
      </c>
      <c r="I49" s="2" t="str">
        <f>Data!C50</f>
        <v>Raiders</v>
      </c>
      <c r="J49" s="2" t="str">
        <f>Data!D50</f>
        <v>Warriors</v>
      </c>
      <c r="K49" s="2" t="str">
        <f>Data!E50</f>
        <v>Dolphins</v>
      </c>
      <c r="L49" s="2" t="str">
        <f>IF(Data!$S$3&lt;Engine!L$1,0,Data!F50)</f>
        <v>Storm</v>
      </c>
      <c r="M49" s="2" t="str">
        <f>IF(Data!$S$3&lt;Engine!M$1,0,Data!G50)</f>
        <v>Sharks</v>
      </c>
      <c r="N49" s="2" t="str">
        <f>IF(Data!$S$3&lt;Engine!N$1,0,Data!H50)</f>
        <v>Roosters</v>
      </c>
      <c r="O49" s="2" t="str">
        <f>IF(Data!$S$3&lt;Engine!O$1,0,Data!I50)</f>
        <v>Eels</v>
      </c>
      <c r="P49" s="2">
        <f>IF(Data!$S$3&lt;Engine!P$1,0,Data!J50)</f>
        <v>0</v>
      </c>
      <c r="Q49" s="11" t="str">
        <f>IF(Data!B50=1,Data!K50,"No Tips")</f>
        <v>Warriors</v>
      </c>
      <c r="R49" s="2">
        <f>Data!L50</f>
        <v>72</v>
      </c>
      <c r="S49" s="2">
        <f>Data!M50</f>
        <v>2781</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16</v>
      </c>
      <c r="Y49">
        <f t="shared" si="15"/>
        <v>73</v>
      </c>
      <c r="Z49">
        <f t="shared" si="12"/>
        <v>2797</v>
      </c>
      <c r="AA49" s="111">
        <f t="shared" si="13"/>
        <v>73.027970045999993</v>
      </c>
      <c r="AB49">
        <f t="shared" si="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16</v>
      </c>
      <c r="AD49"/>
      <c r="AE49"/>
      <c r="AF49">
        <f>IF(I49="","",IF(Q49="",0,IF(AND(Q49&gt;0,COUNTIF('Stats Calculator'!$T$24:$AA$24,Q49)=1),HLOOKUP(Q49,'Stats Calculator'!$T$24:$AA$27,4,FALSE),IF(AND(Q49&gt;0,COUNTIF('Stats Calculator'!$T$25:$AA$25,Q49)=1),HLOOKUP(Q49,'Stats Calculator'!$T$25:$AA$27,3,FALSE)))))</f>
        <v>2</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6</v>
      </c>
      <c r="AJ49">
        <f>IF(I49="","",IF(AF49=0,0,IF(VLOOKUP(AF49,'Stats Calculator'!B$31:E$38,4,FALSE)&gt;0,0,2)))</f>
        <v>2</v>
      </c>
      <c r="AK49">
        <f>IF(I49="","",IF(Data!S$3-Engine!AI49=AG49,2,0))</f>
        <v>2</v>
      </c>
      <c r="AL49">
        <f t="shared" si="14"/>
        <v>11</v>
      </c>
    </row>
    <row r="50" spans="1:38" x14ac:dyDescent="0.35">
      <c r="A50">
        <v>49</v>
      </c>
      <c r="B50">
        <f t="shared" si="16"/>
        <v>52</v>
      </c>
      <c r="C50" s="111">
        <f t="shared" si="8"/>
        <v>48.026550045</v>
      </c>
      <c r="D50">
        <f t="shared" si="17"/>
        <v>53</v>
      </c>
      <c r="E50" s="3" t="str">
        <f t="shared" si="9"/>
        <v>q</v>
      </c>
      <c r="F50">
        <f t="shared" si="10"/>
        <v>1</v>
      </c>
      <c r="G50">
        <v>45</v>
      </c>
      <c r="H50" t="str">
        <f>Data!A51</f>
        <v>Timbo</v>
      </c>
      <c r="I50" s="2" t="str">
        <f>Data!C51</f>
        <v>Raiders</v>
      </c>
      <c r="J50" s="2" t="str">
        <f>Data!D51</f>
        <v>Warriors</v>
      </c>
      <c r="K50" s="2" t="str">
        <f>Data!E51</f>
        <v>Dolphins</v>
      </c>
      <c r="L50" s="2" t="str">
        <f>IF(Data!$S$3&lt;Engine!L$1,0,Data!F51)</f>
        <v>Rabbitohs</v>
      </c>
      <c r="M50" s="2" t="str">
        <f>IF(Data!$S$3&lt;Engine!M$1,0,Data!G51)</f>
        <v>Broncos</v>
      </c>
      <c r="N50" s="2" t="str">
        <f>IF(Data!$S$3&lt;Engine!N$1,0,Data!H51)</f>
        <v>Roosters</v>
      </c>
      <c r="O50" s="2" t="str">
        <f>IF(Data!$S$3&lt;Engine!O$1,0,Data!I51)</f>
        <v>Eels</v>
      </c>
      <c r="P50" s="2">
        <f>IF(Data!$S$3&lt;Engine!P$1,0,Data!J51)</f>
        <v>0</v>
      </c>
      <c r="Q50" s="11" t="str">
        <f>IF(Data!B51=1,Data!K51,"No Tips")</f>
        <v>Roosters</v>
      </c>
      <c r="R50" s="2">
        <f>Data!L51</f>
        <v>48</v>
      </c>
      <c r="S50" s="2">
        <f>Data!M51</f>
        <v>2655</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16</v>
      </c>
      <c r="Y50">
        <f t="shared" si="15"/>
        <v>49</v>
      </c>
      <c r="Z50">
        <f t="shared" si="12"/>
        <v>2671</v>
      </c>
      <c r="AA50" s="111">
        <f t="shared" si="13"/>
        <v>49.026710045000002</v>
      </c>
      <c r="AB50">
        <f t="shared" si="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16</v>
      </c>
      <c r="AF50">
        <f>IF(I50="","",IF(Q50="",0,IF(AND(Q50&gt;0,COUNTIF('Stats Calculator'!$T$24:$AA$24,Q50)=1),HLOOKUP(Q50,'Stats Calculator'!$T$24:$AA$27,4,FALSE),IF(AND(Q50&gt;0,COUNTIF('Stats Calculator'!$T$25:$AA$25,Q50)=1),HLOOKUP(Q50,'Stats Calculator'!$T$25:$AA$27,3,FALSE)))))</f>
        <v>6</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6</v>
      </c>
      <c r="AJ50">
        <f>IF(I50="","",IF(AF50=0,0,IF(VLOOKUP(AF50,'Stats Calculator'!B$31:E$38,4,FALSE)&gt;0,0,2)))</f>
        <v>2</v>
      </c>
      <c r="AK50">
        <f>IF(I50="","",IF(Data!S$3-Engine!AI50=AG50,2,0))</f>
        <v>2</v>
      </c>
      <c r="AL50">
        <f t="shared" si="14"/>
        <v>11</v>
      </c>
    </row>
    <row r="51" spans="1:38" x14ac:dyDescent="0.35">
      <c r="A51">
        <v>50</v>
      </c>
      <c r="B51">
        <f t="shared" si="16"/>
        <v>16</v>
      </c>
      <c r="C51" s="111">
        <f t="shared" si="8"/>
        <v>74.02751004400001</v>
      </c>
      <c r="D51">
        <f t="shared" si="17"/>
        <v>20</v>
      </c>
      <c r="E51" s="3" t="str">
        <f t="shared" si="9"/>
        <v>q</v>
      </c>
      <c r="F51">
        <f t="shared" si="10"/>
        <v>4</v>
      </c>
      <c r="G51">
        <v>44</v>
      </c>
      <c r="H51" t="str">
        <f>Data!A52</f>
        <v>Tripod</v>
      </c>
      <c r="I51" s="2" t="str">
        <f>Data!C52</f>
        <v>Raiders</v>
      </c>
      <c r="J51" s="2" t="str">
        <f>Data!D52</f>
        <v>Warriors</v>
      </c>
      <c r="K51" s="2" t="str">
        <f>Data!E52</f>
        <v>Dolphins</v>
      </c>
      <c r="L51" s="2" t="str">
        <f>IF(Data!$S$3&lt;Engine!L$1,0,Data!F52)</f>
        <v>Storm</v>
      </c>
      <c r="M51" s="2" t="str">
        <f>IF(Data!$S$3&lt;Engine!M$1,0,Data!G52)</f>
        <v>Broncos</v>
      </c>
      <c r="N51" s="2" t="str">
        <f>IF(Data!$S$3&lt;Engine!N$1,0,Data!H52)</f>
        <v>Roosters</v>
      </c>
      <c r="O51" s="2" t="str">
        <f>IF(Data!$S$3&lt;Engine!O$1,0,Data!I52)</f>
        <v>Titans</v>
      </c>
      <c r="P51" s="2">
        <f>IF(Data!$S$3&lt;Engine!P$1,0,Data!J52)</f>
        <v>0</v>
      </c>
      <c r="Q51" s="11" t="str">
        <f>IF(Data!B52=1,Data!K52,"No Tips")</f>
        <v>Dolphins</v>
      </c>
      <c r="R51" s="2">
        <f>Data!L52</f>
        <v>74</v>
      </c>
      <c r="S51" s="2">
        <f>Data!M52</f>
        <v>2751</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16</v>
      </c>
      <c r="Y51">
        <f t="shared" si="15"/>
        <v>75</v>
      </c>
      <c r="Z51">
        <f t="shared" si="12"/>
        <v>2767</v>
      </c>
      <c r="AA51" s="111">
        <f t="shared" si="13"/>
        <v>75.027670044000004</v>
      </c>
      <c r="AB51">
        <f t="shared" si="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16</v>
      </c>
      <c r="AD51" s="10"/>
      <c r="AE51" s="10"/>
      <c r="AF51">
        <f>IF(I51="","",IF(Q51="",0,IF(AND(Q51&gt;0,COUNTIF('Stats Calculator'!$T$24:$AA$24,Q51)=1),HLOOKUP(Q51,'Stats Calculator'!$T$24:$AA$27,4,FALSE),IF(AND(Q51&gt;0,COUNTIF('Stats Calculator'!$T$25:$AA$25,Q51)=1),HLOOKUP(Q51,'Stats Calculator'!$T$25:$AA$27,3,FALSE)))))</f>
        <v>3</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6</v>
      </c>
      <c r="AJ51">
        <f>IF(I51="","",IF(AF51=0,0,IF(VLOOKUP(AF51,'Stats Calculator'!B$31:E$38,4,FALSE)&gt;0,0,2)))</f>
        <v>2</v>
      </c>
      <c r="AK51">
        <f>IF(I51="","",IF(Data!S$3-Engine!AI51=AG51,2,0))</f>
        <v>2</v>
      </c>
      <c r="AL51">
        <f t="shared" si="14"/>
        <v>11</v>
      </c>
    </row>
    <row r="52" spans="1:38" x14ac:dyDescent="0.35">
      <c r="A52">
        <v>51</v>
      </c>
      <c r="B52">
        <f t="shared" si="16"/>
        <v>6</v>
      </c>
      <c r="C52" s="111">
        <f t="shared" si="8"/>
        <v>78.029150043000001</v>
      </c>
      <c r="D52">
        <f t="shared" si="17"/>
        <v>6</v>
      </c>
      <c r="E52" s="3" t="str">
        <f t="shared" si="9"/>
        <v>u</v>
      </c>
      <c r="F52" t="str">
        <f t="shared" si="10"/>
        <v/>
      </c>
      <c r="G52">
        <v>43</v>
      </c>
      <c r="H52" t="str">
        <f>Data!A53</f>
        <v>UpthePamfers</v>
      </c>
      <c r="I52" s="2" t="str">
        <f>Data!C53</f>
        <v>Raiders</v>
      </c>
      <c r="J52" s="2" t="str">
        <f>Data!D53</f>
        <v>Warriors</v>
      </c>
      <c r="K52" s="2" t="str">
        <f>Data!E53</f>
        <v>Dolphins</v>
      </c>
      <c r="L52" s="2" t="str">
        <f>IF(Data!$S$3&lt;Engine!L$1,0,Data!F53)</f>
        <v>Storm</v>
      </c>
      <c r="M52" s="2" t="str">
        <f>IF(Data!$S$3&lt;Engine!M$1,0,Data!G53)</f>
        <v>Broncos</v>
      </c>
      <c r="N52" s="2" t="str">
        <f>IF(Data!$S$3&lt;Engine!N$1,0,Data!H53)</f>
        <v>Cowboys</v>
      </c>
      <c r="O52" s="2" t="str">
        <f>IF(Data!$S$3&lt;Engine!O$1,0,Data!I53)</f>
        <v>Titans</v>
      </c>
      <c r="P52" s="2">
        <f>IF(Data!$S$3&lt;Engine!P$1,0,Data!J53)</f>
        <v>0</v>
      </c>
      <c r="Q52" s="11" t="str">
        <f>IF(Data!B53=1,Data!K53,"No Tips")</f>
        <v>Dolphins</v>
      </c>
      <c r="R52" s="2">
        <f>Data!L53</f>
        <v>78</v>
      </c>
      <c r="S52" s="2">
        <f>Data!M53</f>
        <v>2915</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16</v>
      </c>
      <c r="Y52">
        <f t="shared" si="15"/>
        <v>79</v>
      </c>
      <c r="Z52">
        <f t="shared" si="12"/>
        <v>2931</v>
      </c>
      <c r="AA52" s="111">
        <f t="shared" si="13"/>
        <v>79.029310042999995</v>
      </c>
      <c r="AB52">
        <f t="shared" si="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16</v>
      </c>
      <c r="AF52">
        <f>IF(I52="","",IF(Q52="",0,IF(AND(Q52&gt;0,COUNTIF('Stats Calculator'!$T$24:$AA$24,Q52)=1),HLOOKUP(Q52,'Stats Calculator'!$T$24:$AA$27,4,FALSE),IF(AND(Q52&gt;0,COUNTIF('Stats Calculator'!$T$25:$AA$25,Q52)=1),HLOOKUP(Q52,'Stats Calculator'!$T$25:$AA$27,3,FALSE)))))</f>
        <v>3</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6</v>
      </c>
      <c r="AJ52">
        <f>IF(I52="","",IF(AF52=0,0,IF(VLOOKUP(AF52,'Stats Calculator'!B$31:E$38,4,FALSE)&gt;0,0,2)))</f>
        <v>2</v>
      </c>
      <c r="AK52">
        <f>IF(I52="","",IF(Data!S$3-Engine!AI52=AG52,2,0))</f>
        <v>2</v>
      </c>
      <c r="AL52">
        <f t="shared" si="14"/>
        <v>11</v>
      </c>
    </row>
    <row r="53" spans="1:38" x14ac:dyDescent="0.35">
      <c r="A53">
        <v>52</v>
      </c>
      <c r="B53">
        <f t="shared" si="16"/>
        <v>50</v>
      </c>
      <c r="C53" s="111">
        <f t="shared" si="8"/>
        <v>53.026280042000003</v>
      </c>
      <c r="D53">
        <f t="shared" si="17"/>
        <v>50</v>
      </c>
      <c r="E53" s="3" t="str">
        <f t="shared" si="9"/>
        <v>u</v>
      </c>
      <c r="F53" t="str">
        <f t="shared" si="10"/>
        <v/>
      </c>
      <c r="G53">
        <v>42</v>
      </c>
      <c r="H53" t="str">
        <f>Data!A54</f>
        <v>Westy</v>
      </c>
      <c r="I53" s="2" t="str">
        <f>Data!C54</f>
        <v>Raiders</v>
      </c>
      <c r="J53" s="2" t="str">
        <f>Data!D54</f>
        <v>Panthers</v>
      </c>
      <c r="K53" s="2" t="str">
        <f>Data!E54</f>
        <v>Dolphins</v>
      </c>
      <c r="L53" s="2" t="str">
        <f>IF(Data!$S$3&lt;Engine!L$1,0,Data!F54)</f>
        <v>Storm</v>
      </c>
      <c r="M53" s="2" t="str">
        <f>IF(Data!$S$3&lt;Engine!M$1,0,Data!G54)</f>
        <v>Sharks</v>
      </c>
      <c r="N53" s="2" t="str">
        <f>IF(Data!$S$3&lt;Engine!N$1,0,Data!H54)</f>
        <v>Roosters</v>
      </c>
      <c r="O53" s="2" t="str">
        <f>IF(Data!$S$3&lt;Engine!O$1,0,Data!I54)</f>
        <v>Eels</v>
      </c>
      <c r="P53" s="2">
        <f>IF(Data!$S$3&lt;Engine!P$1,0,Data!J54)</f>
        <v>0</v>
      </c>
      <c r="Q53" s="11" t="str">
        <f>IF(Data!B54=1,Data!K54,"No Tips")</f>
        <v>Storm</v>
      </c>
      <c r="R53" s="2">
        <f>Data!L54</f>
        <v>53</v>
      </c>
      <c r="S53" s="2">
        <f>Data!M54</f>
        <v>2628</v>
      </c>
      <c r="T53" s="1">
        <f>IF(I53="","",COUNTIF('Live Ladder'!P:P,I53)+COUNTIF('Live Ladder'!P:P,J53)+COUNTIF('Live Ladder'!P:P,K53)+COUNTIF('Live Ladder'!P:P,L53)+COUNTIF('Live Ladder'!P:P,M53)+COUNTIF('Live Ladder'!P:P,N53)+COUNTIF('Live Ladder'!P:P,O53)+COUNTIF('Live Ladder'!P:P,P53))</f>
        <v>1</v>
      </c>
      <c r="U53" s="1">
        <f>IF(I53="","",IF(COUNTIF('Live Ladder'!P:P,Engine!Q53)=1,2,IF(COUNTIF('Live Ladder'!Q:Q,Engine!Q53)=1,-2,0)))</f>
        <v>0</v>
      </c>
      <c r="V53" s="1">
        <f>IF(I53="","",IF(T53=Data!S$3,2,0))</f>
        <v>0</v>
      </c>
      <c r="W53" s="1">
        <f t="shared" si="11"/>
        <v>1</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Y53">
        <f t="shared" si="15"/>
        <v>54</v>
      </c>
      <c r="Z53">
        <f t="shared" si="12"/>
        <v>2644</v>
      </c>
      <c r="AA53" s="111">
        <f t="shared" si="13"/>
        <v>54.026440042000004</v>
      </c>
      <c r="AB53">
        <f t="shared" si="6"/>
        <v>1</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16</v>
      </c>
      <c r="AF53">
        <f>IF(I53="","",IF(Q53="",0,IF(AND(Q53&gt;0,COUNTIF('Stats Calculator'!$T$24:$AA$24,Q53)=1),HLOOKUP(Q53,'Stats Calculator'!$T$24:$AA$27,4,FALSE),IF(AND(Q53&gt;0,COUNTIF('Stats Calculator'!$T$25:$AA$25,Q53)=1),HLOOKUP(Q53,'Stats Calculator'!$T$25:$AA$27,3,FALSE)))))</f>
        <v>4</v>
      </c>
      <c r="AG53">
        <f>IF(I53="","",COUNTIF(I53,'Stats Calculator'!E$31)+COUNTIF(J53,'Stats Calculator'!E$32)+COUNTIF(K53,'Stats Calculator'!E$33)+COUNTIF(L53,'Stats Calculator'!E$34)+COUNTIF(M53,'Stats Calculator'!E$35)+COUNTIF(N53,'Stats Calculator'!E$36)+COUNTIF(O53,'Stats Calculator'!E$37)+COUNTIF(P53,'Stats Calculator'!E$38)-8+Data!S$3)</f>
        <v>1</v>
      </c>
      <c r="AH53">
        <f>IF(I53="","",IF(Q53="",0,IF(Q53=0,0,IF(VLOOKUP(Engine!AF53,'Stats Calculator'!B$31:E$38,4,FALSE)="",0,IF(VLOOKUP(Engine!AF53,'Stats Calculator'!B$31:E$38,4,FALSE)=Q53,2,-2)))))</f>
        <v>0</v>
      </c>
      <c r="AI53">
        <f>IF(I53="","",Data!S$3-COUNTA('Stats Calculator'!E$31:E$38))</f>
        <v>6</v>
      </c>
      <c r="AJ53">
        <f>IF(I53="","",IF(AF53=0,0,IF(VLOOKUP(AF53,'Stats Calculator'!B$31:E$38,4,FALSE)&gt;0,0,2)))</f>
        <v>2</v>
      </c>
      <c r="AK53">
        <f>IF(I53="","",IF(Data!S$3-Engine!AI53=AG53,2,0))</f>
        <v>2</v>
      </c>
      <c r="AL53">
        <f t="shared" si="14"/>
        <v>11</v>
      </c>
    </row>
    <row r="54" spans="1:38" x14ac:dyDescent="0.35">
      <c r="A54">
        <v>53</v>
      </c>
      <c r="B54">
        <f t="shared" si="16"/>
        <v>2</v>
      </c>
      <c r="C54" s="111">
        <f t="shared" si="8"/>
        <v>85.028020041000005</v>
      </c>
      <c r="D54">
        <f t="shared" si="17"/>
        <v>2</v>
      </c>
      <c r="E54" s="3" t="str">
        <f t="shared" si="9"/>
        <v>u</v>
      </c>
      <c r="F54" t="str">
        <f t="shared" si="10"/>
        <v/>
      </c>
      <c r="G54">
        <v>41</v>
      </c>
      <c r="H54" t="str">
        <f>Data!A55</f>
        <v>Wiley C</v>
      </c>
      <c r="I54" s="2" t="str">
        <f>Data!C55</f>
        <v>Raiders</v>
      </c>
      <c r="J54" s="2" t="str">
        <f>Data!D55</f>
        <v>Warriors</v>
      </c>
      <c r="K54" s="2" t="str">
        <f>Data!E55</f>
        <v>Dolphins</v>
      </c>
      <c r="L54" s="2" t="str">
        <f>IF(Data!$S$3&lt;Engine!L$1,0,Data!F55)</f>
        <v>Storm</v>
      </c>
      <c r="M54" s="2" t="str">
        <f>IF(Data!$S$3&lt;Engine!M$1,0,Data!G55)</f>
        <v>Broncos</v>
      </c>
      <c r="N54" s="2" t="str">
        <f>IF(Data!$S$3&lt;Engine!N$1,0,Data!H55)</f>
        <v>Roosters</v>
      </c>
      <c r="O54" s="2" t="str">
        <f>IF(Data!$S$3&lt;Engine!O$1,0,Data!I55)</f>
        <v>Titans</v>
      </c>
      <c r="P54" s="2">
        <f>IF(Data!$S$3&lt;Engine!P$1,0,Data!J55)</f>
        <v>0</v>
      </c>
      <c r="Q54" s="11" t="str">
        <f>IF(Data!B55=1,Data!K55,"No Tips")</f>
        <v>Dolphins</v>
      </c>
      <c r="R54" s="2">
        <f>Data!L55</f>
        <v>85</v>
      </c>
      <c r="S54" s="2">
        <f>Data!M55</f>
        <v>2802</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16</v>
      </c>
      <c r="Y54">
        <f t="shared" si="15"/>
        <v>86</v>
      </c>
      <c r="Z54">
        <f t="shared" si="12"/>
        <v>2818</v>
      </c>
      <c r="AA54" s="111">
        <f t="shared" si="13"/>
        <v>86.028180041000013</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16</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6</v>
      </c>
      <c r="AJ54">
        <f>IF(I54="","",IF(AF54=0,0,IF(VLOOKUP(AF54,'Stats Calculator'!B$31:E$38,4,FALSE)&gt;0,0,2)))</f>
        <v>2</v>
      </c>
      <c r="AK54">
        <f>IF(I54="","",IF(Data!S$3-Engine!AI54=AG54,2,0))</f>
        <v>2</v>
      </c>
      <c r="AL54">
        <f t="shared" si="14"/>
        <v>11</v>
      </c>
    </row>
    <row r="55" spans="1:38" x14ac:dyDescent="0.35">
      <c r="A55">
        <v>54</v>
      </c>
      <c r="B55">
        <f t="shared" si="16"/>
        <v>43</v>
      </c>
      <c r="C55" s="111">
        <f t="shared" si="8"/>
        <v>60.024880040000006</v>
      </c>
      <c r="D55">
        <f t="shared" si="17"/>
        <v>42</v>
      </c>
      <c r="E55" s="3" t="str">
        <f t="shared" si="9"/>
        <v>p</v>
      </c>
      <c r="F55">
        <f t="shared" si="10"/>
        <v>1</v>
      </c>
      <c r="G55">
        <v>40</v>
      </c>
      <c r="H55" t="str">
        <f>Data!A56</f>
        <v>Yackas</v>
      </c>
      <c r="I55" s="2" t="str">
        <f>Data!C56</f>
        <v>Raiders</v>
      </c>
      <c r="J55" s="2" t="str">
        <f>Data!D56</f>
        <v>Warriors</v>
      </c>
      <c r="K55" s="2" t="str">
        <f>Data!E56</f>
        <v>Dolphins</v>
      </c>
      <c r="L55" s="2" t="str">
        <f>IF(Data!$S$3&lt;Engine!L$1,0,Data!F56)</f>
        <v>Storm</v>
      </c>
      <c r="M55" s="2" t="str">
        <f>IF(Data!$S$3&lt;Engine!M$1,0,Data!G56)</f>
        <v>Sharks</v>
      </c>
      <c r="N55" s="2" t="str">
        <f>IF(Data!$S$3&lt;Engine!N$1,0,Data!H56)</f>
        <v>Roosters</v>
      </c>
      <c r="O55" s="2" t="str">
        <f>IF(Data!$S$3&lt;Engine!O$1,0,Data!I56)</f>
        <v>Eels</v>
      </c>
      <c r="P55" s="2">
        <f>IF(Data!$S$3&lt;Engine!P$1,0,Data!J56)</f>
        <v>0</v>
      </c>
      <c r="Q55" s="11" t="str">
        <f>IF(Data!B56=1,Data!K56,"No Tips")</f>
        <v>Raiders</v>
      </c>
      <c r="R55" s="2">
        <f>Data!L56</f>
        <v>60</v>
      </c>
      <c r="S55" s="2">
        <f>Data!M56</f>
        <v>2488</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2</v>
      </c>
      <c r="V55" s="1">
        <f>IF(I55="","",IF(T55=Data!S$3,2,0))</f>
        <v>0</v>
      </c>
      <c r="W55" s="1">
        <f t="shared" si="11"/>
        <v>3</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16</v>
      </c>
      <c r="Y55">
        <f t="shared" si="15"/>
        <v>63</v>
      </c>
      <c r="Z55">
        <f t="shared" si="12"/>
        <v>2504</v>
      </c>
      <c r="AA55" s="111">
        <f t="shared" si="13"/>
        <v>63.02504004</v>
      </c>
      <c r="AB55">
        <f t="shared" si="6"/>
        <v>3</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16</v>
      </c>
      <c r="AF55">
        <f>IF(I55="","",IF(Q55="",0,IF(AND(Q55&gt;0,COUNTIF('Stats Calculator'!$T$24:$AA$24,Q55)=1),HLOOKUP(Q55,'Stats Calculator'!$T$24:$AA$27,4,FALSE),IF(AND(Q55&gt;0,COUNTIF('Stats Calculator'!$T$25:$AA$25,Q55)=1),HLOOKUP(Q55,'Stats Calculator'!$T$25:$AA$27,3,FALSE)))))</f>
        <v>1</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2</v>
      </c>
      <c r="AI55">
        <f>IF(I55="","",Data!S$3-COUNTA('Stats Calculator'!E$31:E$38))</f>
        <v>6</v>
      </c>
      <c r="AJ55">
        <f>IF(I55="","",IF(AF55=0,0,IF(VLOOKUP(AF55,'Stats Calculator'!B$31:E$38,4,FALSE)&gt;0,0,2)))</f>
        <v>0</v>
      </c>
      <c r="AK55">
        <f>IF(I55="","",IF(Data!S$3-Engine!AI55=AG55,2,0))</f>
        <v>2</v>
      </c>
      <c r="AL55">
        <f t="shared" si="14"/>
        <v>11</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f>IF(Data!$S$3&lt;Engine!P$1,0,Data!J57)</f>
        <v>0</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0</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12</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f>IF(Data!$S$3&lt;Engine!P$1,0,Data!J58)</f>
        <v>0</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0</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12</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f>IF(Data!$S$3&lt;Engine!P$1,0,Data!J59)</f>
        <v>0</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0</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12</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f>IF(Data!$S$3&lt;Engine!P$1,0,Data!J60)</f>
        <v>0</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0</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12</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f>IF(Data!$S$3&lt;Engine!P$1,0,Data!J70)</f>
        <v>0</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0</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12</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f>IF(Data!$S$3&lt;Engine!P$1,0,Data!J61)</f>
        <v>0</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0</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12</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f>IF(Data!$S$3&lt;Engine!P$1,0,Data!J62)</f>
        <v>0</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0</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12</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f>IF(Data!$S$3&lt;Engine!P$1,0,Data!J63)</f>
        <v>0</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0</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12</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f>IF(Data!$S$3&lt;Engine!P$1,0,Data!J64)</f>
        <v>0</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0</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12</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f>IF(Data!$S$3&lt;Engine!P$1,0,Data!J65)</f>
        <v>0</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0</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12</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f>IF(Data!$S$3&lt;Engine!P$1,0,Data!J66)</f>
        <v>0</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0</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12</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f>IF(Data!$S$3&lt;Engine!P$1,0,Data!J67)</f>
        <v>0</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0</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12</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f>IF(Data!$S$3&lt;Engine!P$1,0,Data!J68)</f>
        <v>0</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0</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12</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f>IF(Data!$S$3&lt;Engine!P$1,0,Data!J69)</f>
        <v>0</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0</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12</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f>IF(Data!$S$3&lt;Engine!P$1,0,Data!J71)</f>
        <v>0</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0</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12</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f>IF(Data!$S$3&lt;Engine!P$1,0,Data!J72)</f>
        <v>0</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0</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12</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f>IF(Data!$S$3&lt;Engine!P$1,0,Data!J73)</f>
        <v>0</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0</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12</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f>IF(Data!$S$3&lt;Engine!P$1,0,Data!J74)</f>
        <v>0</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0</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12</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f>IF(Data!$S$3&lt;Engine!P$1,0,Data!J75)</f>
        <v>0</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0</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12</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f>IF(Data!$S$3&lt;Engine!P$1,0,Data!J76)</f>
        <v>0</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0</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12</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f>IF(Data!$S$3&lt;Engine!P$1,0,Data!J77)</f>
        <v>0</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0</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12</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f>IF(Data!$S$3&lt;Engine!P$1,0,Data!J78)</f>
        <v>0</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0</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12</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f>IF(Data!$S$3&lt;Engine!P$1,0,Data!J79)</f>
        <v>0</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0</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12</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f>IF(Data!$S$3&lt;Engine!P$1,0,Data!J84)</f>
        <v>0</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0</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12</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f>IF(Data!$S$3&lt;Engine!P$1,0,Data!J81)</f>
        <v>0</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0</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12</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f>IF(Data!$S$3&lt;Engine!P$1,0,Data!J85)</f>
        <v>0</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0</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12</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f>IF(Data!$S$3&lt;Engine!P$1,0,Data!J82)</f>
        <v>0</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0</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12</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f>IF(Data!$S$3&lt;Engine!P$1,0,Data!J80)</f>
        <v>0</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0</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12</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f>IF(Data!$S$3&lt;Engine!P$1,0,Data!J83)</f>
        <v>0</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0</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12</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f>IF(Data!$S$3&lt;Engine!P$1,0,Data!J86)</f>
        <v>0</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0</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12</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f>IF(Data!$S$3&lt;Engine!P$1,0,Data!J88)</f>
        <v>0</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0</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12</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f>IF(Data!$S$3&lt;Engine!P$1,0,Data!J89)</f>
        <v>0</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0</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12</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f>IF(Data!$S$3&lt;Engine!P$1,0,Data!J90)</f>
        <v>0</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0</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12</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f>IF(Data!$S$3&lt;Engine!P$1,0,Data!J92)</f>
        <v>0</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0</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12</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f>IF(Data!$S$3&lt;Engine!P$1,0,Data!J93)</f>
        <v>0</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0</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12</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f>IF(Data!$S$3&lt;Engine!P$1,0,Data!J94)</f>
        <v>0</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0</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12</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f>IF(Data!$S$3&lt;Engine!P$1,0,Data!J95)</f>
        <v>0</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0</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12</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f>IF(Data!$S$3&lt;Engine!P$1,0,Data!J87)</f>
        <v>0</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0</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12</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f>IF(Data!$S$3&lt;Engine!P$1,0,Data!J91)</f>
        <v>0</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0</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12</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47</v>
      </c>
      <c r="C95" s="111">
        <f t="shared" si="21"/>
        <v>57.026370999000001</v>
      </c>
      <c r="D95">
        <f>RANK(AA95,AA:AA)</f>
        <v>45</v>
      </c>
      <c r="E95" s="3" t="str">
        <f>IF(H95="ZZZZZZ Suspend","",IF(D95&lt;B95,AD$3,IF(D95&gt;B95,AD$4,AD$5)))</f>
        <v>p</v>
      </c>
      <c r="F95">
        <f>IF(D95&gt;B95,D95-B95,IF(D95&lt;B95,B95-D95,""))</f>
        <v>2</v>
      </c>
      <c r="G95">
        <v>999</v>
      </c>
      <c r="H95" t="str">
        <f>Data!A96</f>
        <v>***Footy Tipper***</v>
      </c>
      <c r="I95" s="2" t="str">
        <f>Data!C96</f>
        <v>Raiders</v>
      </c>
      <c r="J95" s="2" t="str">
        <f>Data!D96</f>
        <v>Warriors</v>
      </c>
      <c r="K95" s="2" t="str">
        <f>Data!E96</f>
        <v>Dolphins</v>
      </c>
      <c r="L95" s="2" t="str">
        <f>IF(Data!$S$3&lt;Engine!L$1,0,Data!F96)</f>
        <v>Storm</v>
      </c>
      <c r="M95" s="2" t="str">
        <f>IF(Data!$S$3&lt;Engine!M$1,0,Data!G96)</f>
        <v>Broncos</v>
      </c>
      <c r="N95" s="2" t="str">
        <f>IF(Data!$S$3&lt;Engine!N$1,0,Data!H96)</f>
        <v>Roosters</v>
      </c>
      <c r="O95" s="2" t="str">
        <f>IF(Data!$S$3&lt;Engine!O$1,0,Data!I96)</f>
        <v>Eels</v>
      </c>
      <c r="P95" s="2">
        <f>IF(Data!$S$3&lt;Engine!P$1,0,Data!J96)</f>
        <v>0</v>
      </c>
      <c r="Q95" s="2" t="str">
        <f>Data!K96</f>
        <v>Raiders</v>
      </c>
      <c r="R95" s="2">
        <f>Data!L96</f>
        <v>57</v>
      </c>
      <c r="S95" s="2">
        <f>Data!M96</f>
        <v>2637</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2</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16</v>
      </c>
      <c r="Y95">
        <f>R95+SUM(T95:V95)</f>
        <v>60</v>
      </c>
      <c r="Z95">
        <f>S95+X95</f>
        <v>2653</v>
      </c>
      <c r="AA95" s="111">
        <f t="shared" si="26"/>
        <v>60.026530999000002</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16</v>
      </c>
      <c r="AF95">
        <f>IF(I95="","",IF(Q95="",0,IF(AND(Q95&gt;0,COUNTIF('Stats Calculator'!$T$24:$AA$24,Q95)=1),HLOOKUP(Q95,'Stats Calculator'!$T$24:$AA$27,4,FALSE),IF(AND(Q95&gt;0,COUNTIF('Stats Calculator'!$T$25:$AA$25,Q95)=1),HLOOKUP(Q95,'Stats Calculator'!$T$25:$AA$27,3,FALSE)))))</f>
        <v>1</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2</v>
      </c>
      <c r="AI95">
        <f>IF(I95="","",Data!S$3-COUNTA('Stats Calculator'!E$31:E$38))</f>
        <v>6</v>
      </c>
      <c r="AJ95">
        <f>IF(I95="","",IF(AF95=0,0,IF(VLOOKUP(AF95,'Stats Calculator'!B$31:E$38,4,FALSE)&gt;0,0,2)))</f>
        <v>0</v>
      </c>
      <c r="AK95">
        <f>IF(I95="","",IF(Data!S$3-Engine!AI95=AG95,2,0))</f>
        <v>2</v>
      </c>
      <c r="AL95">
        <f t="shared" ref="AL95" si="45">IF(I95="","",SUM(AG95:AK95))</f>
        <v>11</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sheetPr codeName="Sheet3"/>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129</v>
      </c>
      <c r="D5" s="124" t="s">
        <v>130</v>
      </c>
      <c r="E5" s="124" t="s">
        <v>215</v>
      </c>
      <c r="F5" s="124" t="s">
        <v>125</v>
      </c>
      <c r="G5" s="124" t="s">
        <v>124</v>
      </c>
      <c r="H5" s="124" t="s">
        <v>147</v>
      </c>
      <c r="I5" s="124" t="s">
        <v>216</v>
      </c>
      <c r="J5" s="124">
        <v>0</v>
      </c>
      <c r="K5" s="124" t="s">
        <v>215</v>
      </c>
    </row>
    <row r="6" spans="2:11" x14ac:dyDescent="0.35">
      <c r="B6" s="125" t="s">
        <v>151</v>
      </c>
      <c r="C6" s="125" t="s">
        <v>129</v>
      </c>
      <c r="D6" s="125" t="s">
        <v>130</v>
      </c>
      <c r="E6" s="125" t="s">
        <v>215</v>
      </c>
      <c r="F6" s="125" t="s">
        <v>125</v>
      </c>
      <c r="G6" s="125" t="s">
        <v>124</v>
      </c>
      <c r="H6" s="125" t="s">
        <v>147</v>
      </c>
      <c r="I6" s="125" t="s">
        <v>146</v>
      </c>
      <c r="J6" s="125">
        <v>0</v>
      </c>
      <c r="K6" s="125" t="s">
        <v>130</v>
      </c>
    </row>
    <row r="7" spans="2:11" x14ac:dyDescent="0.35">
      <c r="B7" s="124" t="s">
        <v>152</v>
      </c>
      <c r="C7" s="124" t="s">
        <v>129</v>
      </c>
      <c r="D7" s="124" t="s">
        <v>130</v>
      </c>
      <c r="E7" s="124" t="s">
        <v>215</v>
      </c>
      <c r="F7" s="124" t="s">
        <v>125</v>
      </c>
      <c r="G7" s="124" t="s">
        <v>124</v>
      </c>
      <c r="H7" s="124" t="s">
        <v>147</v>
      </c>
      <c r="I7" s="124" t="s">
        <v>216</v>
      </c>
      <c r="J7" s="124">
        <v>0</v>
      </c>
      <c r="K7" s="124" t="s">
        <v>215</v>
      </c>
    </row>
    <row r="8" spans="2:11" x14ac:dyDescent="0.35">
      <c r="B8" s="125" t="s">
        <v>153</v>
      </c>
      <c r="C8" s="125" t="s">
        <v>129</v>
      </c>
      <c r="D8" s="125" t="s">
        <v>130</v>
      </c>
      <c r="E8" s="125" t="s">
        <v>215</v>
      </c>
      <c r="F8" s="125" t="s">
        <v>125</v>
      </c>
      <c r="G8" s="125" t="s">
        <v>123</v>
      </c>
      <c r="H8" s="125" t="s">
        <v>147</v>
      </c>
      <c r="I8" s="125" t="s">
        <v>146</v>
      </c>
      <c r="J8" s="125">
        <v>0</v>
      </c>
      <c r="K8" s="125" t="s">
        <v>147</v>
      </c>
    </row>
    <row r="9" spans="2:11" x14ac:dyDescent="0.35">
      <c r="B9" s="124" t="s">
        <v>154</v>
      </c>
      <c r="C9" s="124" t="s">
        <v>129</v>
      </c>
      <c r="D9" s="124" t="s">
        <v>130</v>
      </c>
      <c r="E9" s="124" t="s">
        <v>215</v>
      </c>
      <c r="F9" s="124" t="s">
        <v>125</v>
      </c>
      <c r="G9" s="124" t="s">
        <v>124</v>
      </c>
      <c r="H9" s="124" t="s">
        <v>147</v>
      </c>
      <c r="I9" s="124" t="s">
        <v>146</v>
      </c>
      <c r="J9" s="124">
        <v>0</v>
      </c>
      <c r="K9" s="124" t="s">
        <v>129</v>
      </c>
    </row>
    <row r="10" spans="2:11" x14ac:dyDescent="0.35">
      <c r="B10" s="125" t="s">
        <v>155</v>
      </c>
      <c r="C10" s="125" t="s">
        <v>129</v>
      </c>
      <c r="D10" s="125" t="s">
        <v>130</v>
      </c>
      <c r="E10" s="125" t="s">
        <v>215</v>
      </c>
      <c r="F10" s="125" t="s">
        <v>125</v>
      </c>
      <c r="G10" s="125" t="s">
        <v>124</v>
      </c>
      <c r="H10" s="125" t="s">
        <v>147</v>
      </c>
      <c r="I10" s="125" t="s">
        <v>216</v>
      </c>
      <c r="J10" s="125">
        <v>0</v>
      </c>
      <c r="K10" s="125" t="s">
        <v>215</v>
      </c>
    </row>
    <row r="11" spans="2:11" x14ac:dyDescent="0.35">
      <c r="B11" s="124" t="s">
        <v>156</v>
      </c>
      <c r="C11" s="124" t="s">
        <v>129</v>
      </c>
      <c r="D11" s="124" t="s">
        <v>130</v>
      </c>
      <c r="E11" s="124" t="s">
        <v>215</v>
      </c>
      <c r="F11" s="124" t="s">
        <v>125</v>
      </c>
      <c r="G11" s="124" t="s">
        <v>124</v>
      </c>
      <c r="H11" s="124" t="s">
        <v>147</v>
      </c>
      <c r="I11" s="124" t="s">
        <v>216</v>
      </c>
      <c r="J11" s="124">
        <v>0</v>
      </c>
      <c r="K11" s="124" t="s">
        <v>130</v>
      </c>
    </row>
    <row r="12" spans="2:11" x14ac:dyDescent="0.35">
      <c r="B12" s="125" t="s">
        <v>157</v>
      </c>
      <c r="C12" s="125" t="s">
        <v>129</v>
      </c>
      <c r="D12" s="125" t="s">
        <v>130</v>
      </c>
      <c r="E12" s="125" t="s">
        <v>215</v>
      </c>
      <c r="F12" s="125" t="s">
        <v>127</v>
      </c>
      <c r="G12" s="125" t="s">
        <v>123</v>
      </c>
      <c r="H12" s="125" t="s">
        <v>128</v>
      </c>
      <c r="I12" s="125" t="s">
        <v>146</v>
      </c>
      <c r="J12" s="125">
        <v>0</v>
      </c>
      <c r="K12" s="125" t="s">
        <v>129</v>
      </c>
    </row>
    <row r="13" spans="2:11" x14ac:dyDescent="0.35">
      <c r="B13" s="124" t="s">
        <v>158</v>
      </c>
      <c r="C13" s="124" t="s">
        <v>129</v>
      </c>
      <c r="D13" s="124" t="s">
        <v>130</v>
      </c>
      <c r="E13" s="124" t="s">
        <v>222</v>
      </c>
      <c r="F13" s="124" t="s">
        <v>125</v>
      </c>
      <c r="G13" s="124" t="s">
        <v>123</v>
      </c>
      <c r="H13" s="124" t="s">
        <v>147</v>
      </c>
      <c r="I13" s="124" t="s">
        <v>216</v>
      </c>
      <c r="J13" s="124">
        <v>0</v>
      </c>
      <c r="K13" s="124" t="s">
        <v>129</v>
      </c>
    </row>
    <row r="14" spans="2:11" x14ac:dyDescent="0.35">
      <c r="B14" s="125" t="s">
        <v>159</v>
      </c>
      <c r="C14" s="125" t="s">
        <v>129</v>
      </c>
      <c r="D14" s="125" t="s">
        <v>130</v>
      </c>
      <c r="E14" s="125" t="s">
        <v>215</v>
      </c>
      <c r="F14" s="125" t="s">
        <v>125</v>
      </c>
      <c r="G14" s="125" t="s">
        <v>123</v>
      </c>
      <c r="H14" s="125" t="s">
        <v>147</v>
      </c>
      <c r="I14" s="125" t="s">
        <v>216</v>
      </c>
      <c r="J14" s="125">
        <v>0</v>
      </c>
      <c r="K14" s="125" t="s">
        <v>129</v>
      </c>
    </row>
    <row r="15" spans="2:11" x14ac:dyDescent="0.35">
      <c r="B15" s="124" t="s">
        <v>160</v>
      </c>
      <c r="C15" s="124" t="s">
        <v>129</v>
      </c>
      <c r="D15" s="124" t="s">
        <v>130</v>
      </c>
      <c r="E15" s="124" t="s">
        <v>215</v>
      </c>
      <c r="F15" s="124" t="s">
        <v>125</v>
      </c>
      <c r="G15" s="124" t="s">
        <v>123</v>
      </c>
      <c r="H15" s="124" t="s">
        <v>147</v>
      </c>
      <c r="I15" s="124" t="s">
        <v>216</v>
      </c>
      <c r="J15" s="124">
        <v>0</v>
      </c>
      <c r="K15" s="124" t="s">
        <v>129</v>
      </c>
    </row>
    <row r="16" spans="2:11" x14ac:dyDescent="0.35">
      <c r="B16" s="125" t="s">
        <v>161</v>
      </c>
      <c r="C16" s="125" t="s">
        <v>129</v>
      </c>
      <c r="D16" s="125" t="s">
        <v>130</v>
      </c>
      <c r="E16" s="125" t="s">
        <v>215</v>
      </c>
      <c r="F16" s="125" t="s">
        <v>125</v>
      </c>
      <c r="G16" s="125" t="s">
        <v>123</v>
      </c>
      <c r="H16" s="125" t="s">
        <v>147</v>
      </c>
      <c r="I16" s="125" t="s">
        <v>146</v>
      </c>
      <c r="J16" s="125">
        <v>0</v>
      </c>
      <c r="K16" s="125" t="s">
        <v>129</v>
      </c>
    </row>
    <row r="17" spans="2:11" x14ac:dyDescent="0.35">
      <c r="B17" s="124" t="s">
        <v>162</v>
      </c>
      <c r="C17" s="124" t="s">
        <v>129</v>
      </c>
      <c r="D17" s="124" t="s">
        <v>130</v>
      </c>
      <c r="E17" s="124" t="s">
        <v>215</v>
      </c>
      <c r="F17" s="124" t="s">
        <v>125</v>
      </c>
      <c r="G17" s="124" t="s">
        <v>124</v>
      </c>
      <c r="H17" s="124" t="s">
        <v>147</v>
      </c>
      <c r="I17" s="124" t="s">
        <v>216</v>
      </c>
      <c r="J17" s="124">
        <v>0</v>
      </c>
      <c r="K17" s="124" t="s">
        <v>129</v>
      </c>
    </row>
    <row r="18" spans="2:11" x14ac:dyDescent="0.35">
      <c r="B18" s="125" t="s">
        <v>163</v>
      </c>
      <c r="C18" s="125" t="s">
        <v>129</v>
      </c>
      <c r="D18" s="125" t="s">
        <v>130</v>
      </c>
      <c r="E18" s="125" t="s">
        <v>215</v>
      </c>
      <c r="F18" s="125" t="s">
        <v>125</v>
      </c>
      <c r="G18" s="125" t="s">
        <v>123</v>
      </c>
      <c r="H18" s="125" t="s">
        <v>147</v>
      </c>
      <c r="I18" s="125" t="s">
        <v>216</v>
      </c>
      <c r="J18" s="125">
        <v>0</v>
      </c>
      <c r="K18" s="125" t="s">
        <v>215</v>
      </c>
    </row>
    <row r="19" spans="2:11" x14ac:dyDescent="0.35">
      <c r="B19" s="124" t="s">
        <v>164</v>
      </c>
      <c r="C19" s="124" t="s">
        <v>129</v>
      </c>
      <c r="D19" s="124" t="s">
        <v>130</v>
      </c>
      <c r="E19" s="124" t="s">
        <v>215</v>
      </c>
      <c r="F19" s="124" t="s">
        <v>125</v>
      </c>
      <c r="G19" s="124" t="s">
        <v>124</v>
      </c>
      <c r="H19" s="124" t="s">
        <v>147</v>
      </c>
      <c r="I19" s="124" t="s">
        <v>216</v>
      </c>
      <c r="J19" s="124">
        <v>0</v>
      </c>
      <c r="K19" s="124" t="s">
        <v>129</v>
      </c>
    </row>
    <row r="20" spans="2:11" x14ac:dyDescent="0.35">
      <c r="B20" s="125" t="s">
        <v>165</v>
      </c>
      <c r="C20" s="125" t="s">
        <v>129</v>
      </c>
      <c r="D20" s="125" t="s">
        <v>130</v>
      </c>
      <c r="E20" s="125" t="s">
        <v>215</v>
      </c>
      <c r="F20" s="125" t="s">
        <v>125</v>
      </c>
      <c r="G20" s="125" t="s">
        <v>124</v>
      </c>
      <c r="H20" s="125" t="s">
        <v>147</v>
      </c>
      <c r="I20" s="125" t="s">
        <v>216</v>
      </c>
      <c r="J20" s="125">
        <v>0</v>
      </c>
      <c r="K20" s="125" t="s">
        <v>129</v>
      </c>
    </row>
    <row r="21" spans="2:11" x14ac:dyDescent="0.35">
      <c r="B21" s="124" t="s">
        <v>166</v>
      </c>
      <c r="C21" s="124" t="s">
        <v>129</v>
      </c>
      <c r="D21" s="124" t="s">
        <v>130</v>
      </c>
      <c r="E21" s="124" t="s">
        <v>215</v>
      </c>
      <c r="F21" s="124" t="s">
        <v>125</v>
      </c>
      <c r="G21" s="124" t="s">
        <v>124</v>
      </c>
      <c r="H21" s="124" t="s">
        <v>147</v>
      </c>
      <c r="I21" s="124" t="s">
        <v>216</v>
      </c>
      <c r="J21" s="124">
        <v>0</v>
      </c>
      <c r="K21" s="124" t="s">
        <v>129</v>
      </c>
    </row>
    <row r="22" spans="2:11" x14ac:dyDescent="0.35">
      <c r="B22" s="125" t="s">
        <v>167</v>
      </c>
      <c r="C22" s="125" t="s">
        <v>129</v>
      </c>
      <c r="D22" s="125" t="s">
        <v>130</v>
      </c>
      <c r="E22" s="125" t="s">
        <v>215</v>
      </c>
      <c r="F22" s="125" t="s">
        <v>125</v>
      </c>
      <c r="G22" s="125" t="s">
        <v>123</v>
      </c>
      <c r="H22" s="125" t="s">
        <v>147</v>
      </c>
      <c r="I22" s="125" t="s">
        <v>146</v>
      </c>
      <c r="J22" s="125">
        <v>0</v>
      </c>
      <c r="K22" s="125" t="s">
        <v>130</v>
      </c>
    </row>
    <row r="23" spans="2:11" x14ac:dyDescent="0.35">
      <c r="B23" s="124" t="s">
        <v>168</v>
      </c>
      <c r="C23" s="124" t="s">
        <v>129</v>
      </c>
      <c r="D23" s="124" t="s">
        <v>130</v>
      </c>
      <c r="E23" s="124" t="s">
        <v>215</v>
      </c>
      <c r="F23" s="124" t="s">
        <v>125</v>
      </c>
      <c r="G23" s="124" t="s">
        <v>124</v>
      </c>
      <c r="H23" s="124" t="s">
        <v>147</v>
      </c>
      <c r="I23" s="124" t="s">
        <v>216</v>
      </c>
      <c r="J23" s="124">
        <v>0</v>
      </c>
      <c r="K23" s="124" t="s">
        <v>129</v>
      </c>
    </row>
    <row r="24" spans="2:11" x14ac:dyDescent="0.35">
      <c r="B24" s="125" t="s">
        <v>169</v>
      </c>
      <c r="C24" s="125" t="s">
        <v>129</v>
      </c>
      <c r="D24" s="125" t="s">
        <v>130</v>
      </c>
      <c r="E24" s="125" t="s">
        <v>215</v>
      </c>
      <c r="F24" s="125" t="s">
        <v>125</v>
      </c>
      <c r="G24" s="125" t="s">
        <v>124</v>
      </c>
      <c r="H24" s="125" t="s">
        <v>147</v>
      </c>
      <c r="I24" s="125" t="s">
        <v>146</v>
      </c>
      <c r="J24" s="125">
        <v>0</v>
      </c>
      <c r="K24" s="125" t="s">
        <v>215</v>
      </c>
    </row>
    <row r="25" spans="2:11" x14ac:dyDescent="0.35">
      <c r="B25" s="124" t="s">
        <v>170</v>
      </c>
      <c r="C25" s="124" t="s">
        <v>129</v>
      </c>
      <c r="D25" s="124" t="s">
        <v>121</v>
      </c>
      <c r="E25" s="124" t="s">
        <v>215</v>
      </c>
      <c r="F25" s="124" t="s">
        <v>125</v>
      </c>
      <c r="G25" s="124" t="s">
        <v>123</v>
      </c>
      <c r="H25" s="124" t="s">
        <v>147</v>
      </c>
      <c r="I25" s="124" t="s">
        <v>146</v>
      </c>
      <c r="J25" s="124">
        <v>0</v>
      </c>
      <c r="K25" s="124" t="s">
        <v>129</v>
      </c>
    </row>
    <row r="26" spans="2:11" x14ac:dyDescent="0.35">
      <c r="B26" s="125" t="s">
        <v>171</v>
      </c>
      <c r="C26" s="125" t="s">
        <v>129</v>
      </c>
      <c r="D26" s="125" t="s">
        <v>121</v>
      </c>
      <c r="E26" s="125" t="s">
        <v>215</v>
      </c>
      <c r="F26" s="125" t="s">
        <v>125</v>
      </c>
      <c r="G26" s="125" t="s">
        <v>123</v>
      </c>
      <c r="H26" s="125" t="s">
        <v>147</v>
      </c>
      <c r="I26" s="125" t="s">
        <v>146</v>
      </c>
      <c r="J26" s="125">
        <v>0</v>
      </c>
      <c r="K26" s="125" t="s">
        <v>147</v>
      </c>
    </row>
    <row r="27" spans="2:11" x14ac:dyDescent="0.35">
      <c r="B27" s="124" t="s">
        <v>172</v>
      </c>
      <c r="C27" s="124" t="s">
        <v>129</v>
      </c>
      <c r="D27" s="124" t="s">
        <v>130</v>
      </c>
      <c r="E27" s="124" t="s">
        <v>215</v>
      </c>
      <c r="F27" s="124" t="s">
        <v>125</v>
      </c>
      <c r="G27" s="124" t="s">
        <v>124</v>
      </c>
      <c r="H27" s="124" t="s">
        <v>147</v>
      </c>
      <c r="I27" s="124" t="s">
        <v>216</v>
      </c>
      <c r="J27" s="124">
        <v>0</v>
      </c>
      <c r="K27" s="124" t="s">
        <v>129</v>
      </c>
    </row>
    <row r="28" spans="2:11" x14ac:dyDescent="0.35">
      <c r="B28" s="125" t="s">
        <v>173</v>
      </c>
      <c r="C28" s="125" t="s">
        <v>129</v>
      </c>
      <c r="D28" s="125" t="s">
        <v>130</v>
      </c>
      <c r="E28" s="125" t="s">
        <v>215</v>
      </c>
      <c r="F28" s="125" t="s">
        <v>125</v>
      </c>
      <c r="G28" s="125" t="s">
        <v>124</v>
      </c>
      <c r="H28" s="125" t="s">
        <v>147</v>
      </c>
      <c r="I28" s="125" t="s">
        <v>146</v>
      </c>
      <c r="J28" s="125">
        <v>0</v>
      </c>
      <c r="K28" s="125" t="s">
        <v>215</v>
      </c>
    </row>
    <row r="29" spans="2:11" x14ac:dyDescent="0.35">
      <c r="B29" s="124" t="s">
        <v>174</v>
      </c>
      <c r="C29" s="124" t="s">
        <v>132</v>
      </c>
      <c r="D29" s="124" t="s">
        <v>130</v>
      </c>
      <c r="E29" s="124" t="s">
        <v>215</v>
      </c>
      <c r="F29" s="124" t="s">
        <v>125</v>
      </c>
      <c r="G29" s="124" t="s">
        <v>123</v>
      </c>
      <c r="H29" s="124" t="s">
        <v>147</v>
      </c>
      <c r="I29" s="124" t="s">
        <v>216</v>
      </c>
      <c r="J29" s="124">
        <v>0</v>
      </c>
      <c r="K29" s="124" t="s">
        <v>215</v>
      </c>
    </row>
    <row r="30" spans="2:11" x14ac:dyDescent="0.35">
      <c r="B30" s="125" t="s">
        <v>175</v>
      </c>
      <c r="C30" s="125" t="s">
        <v>129</v>
      </c>
      <c r="D30" s="125" t="s">
        <v>130</v>
      </c>
      <c r="E30" s="125" t="s">
        <v>215</v>
      </c>
      <c r="F30" s="125" t="s">
        <v>125</v>
      </c>
      <c r="G30" s="125" t="s">
        <v>124</v>
      </c>
      <c r="H30" s="125" t="s">
        <v>147</v>
      </c>
      <c r="I30" s="125" t="s">
        <v>146</v>
      </c>
      <c r="J30" s="125">
        <v>0</v>
      </c>
      <c r="K30" s="125" t="s">
        <v>129</v>
      </c>
    </row>
    <row r="31" spans="2:11" x14ac:dyDescent="0.35">
      <c r="B31" s="124" t="s">
        <v>176</v>
      </c>
      <c r="C31" s="124" t="s">
        <v>129</v>
      </c>
      <c r="D31" s="124" t="s">
        <v>130</v>
      </c>
      <c r="E31" s="124" t="s">
        <v>215</v>
      </c>
      <c r="F31" s="124" t="s">
        <v>125</v>
      </c>
      <c r="G31" s="124" t="s">
        <v>124</v>
      </c>
      <c r="H31" s="124" t="s">
        <v>147</v>
      </c>
      <c r="I31" s="124" t="s">
        <v>146</v>
      </c>
      <c r="J31" s="124">
        <v>0</v>
      </c>
      <c r="K31" s="124" t="s">
        <v>130</v>
      </c>
    </row>
    <row r="32" spans="2:11" x14ac:dyDescent="0.35">
      <c r="B32" s="125" t="s">
        <v>177</v>
      </c>
      <c r="C32" s="125" t="s">
        <v>129</v>
      </c>
      <c r="D32" s="125" t="s">
        <v>130</v>
      </c>
      <c r="E32" s="125" t="s">
        <v>215</v>
      </c>
      <c r="F32" s="125" t="s">
        <v>125</v>
      </c>
      <c r="G32" s="125" t="s">
        <v>123</v>
      </c>
      <c r="H32" s="125" t="s">
        <v>147</v>
      </c>
      <c r="I32" s="125" t="s">
        <v>216</v>
      </c>
      <c r="J32" s="125">
        <v>0</v>
      </c>
      <c r="K32" s="125" t="s">
        <v>129</v>
      </c>
    </row>
    <row r="33" spans="2:11" x14ac:dyDescent="0.35">
      <c r="B33" s="124" t="s">
        <v>178</v>
      </c>
      <c r="C33" s="124" t="s">
        <v>84</v>
      </c>
      <c r="D33" s="124" t="s">
        <v>84</v>
      </c>
      <c r="E33" s="124" t="s">
        <v>84</v>
      </c>
      <c r="F33" s="124" t="s">
        <v>84</v>
      </c>
      <c r="G33" s="124" t="s">
        <v>84</v>
      </c>
      <c r="H33" s="124" t="s">
        <v>84</v>
      </c>
      <c r="I33" s="124" t="s">
        <v>84</v>
      </c>
      <c r="J33" s="124">
        <v>0</v>
      </c>
      <c r="K33" s="124" t="s">
        <v>236</v>
      </c>
    </row>
    <row r="34" spans="2:11" x14ac:dyDescent="0.35">
      <c r="B34" s="125" t="s">
        <v>179</v>
      </c>
      <c r="C34" s="125" t="s">
        <v>129</v>
      </c>
      <c r="D34" s="125" t="s">
        <v>130</v>
      </c>
      <c r="E34" s="125" t="s">
        <v>215</v>
      </c>
      <c r="F34" s="125" t="s">
        <v>125</v>
      </c>
      <c r="G34" s="125" t="s">
        <v>124</v>
      </c>
      <c r="H34" s="125" t="s">
        <v>147</v>
      </c>
      <c r="I34" s="125" t="s">
        <v>146</v>
      </c>
      <c r="J34" s="125">
        <v>0</v>
      </c>
      <c r="K34" s="125" t="s">
        <v>129</v>
      </c>
    </row>
    <row r="35" spans="2:11" x14ac:dyDescent="0.35">
      <c r="B35" s="124" t="s">
        <v>180</v>
      </c>
      <c r="C35" s="124" t="s">
        <v>129</v>
      </c>
      <c r="D35" s="124" t="s">
        <v>130</v>
      </c>
      <c r="E35" s="124" t="s">
        <v>215</v>
      </c>
      <c r="F35" s="124" t="s">
        <v>125</v>
      </c>
      <c r="G35" s="124" t="s">
        <v>124</v>
      </c>
      <c r="H35" s="124" t="s">
        <v>147</v>
      </c>
      <c r="I35" s="124" t="s">
        <v>146</v>
      </c>
      <c r="J35" s="124">
        <v>0</v>
      </c>
      <c r="K35" s="124" t="s">
        <v>129</v>
      </c>
    </row>
    <row r="36" spans="2:11" x14ac:dyDescent="0.35">
      <c r="B36" s="125" t="s">
        <v>181</v>
      </c>
      <c r="C36" s="125" t="s">
        <v>129</v>
      </c>
      <c r="D36" s="125" t="s">
        <v>130</v>
      </c>
      <c r="E36" s="125" t="s">
        <v>215</v>
      </c>
      <c r="F36" s="125" t="s">
        <v>125</v>
      </c>
      <c r="G36" s="125" t="s">
        <v>124</v>
      </c>
      <c r="H36" s="125" t="s">
        <v>147</v>
      </c>
      <c r="I36" s="125" t="s">
        <v>216</v>
      </c>
      <c r="J36" s="125">
        <v>0</v>
      </c>
      <c r="K36" s="125" t="s">
        <v>215</v>
      </c>
    </row>
    <row r="37" spans="2:11" x14ac:dyDescent="0.35">
      <c r="B37" s="124" t="s">
        <v>182</v>
      </c>
      <c r="C37" s="124" t="s">
        <v>129</v>
      </c>
      <c r="D37" s="124" t="s">
        <v>130</v>
      </c>
      <c r="E37" s="124" t="s">
        <v>215</v>
      </c>
      <c r="F37" s="124" t="s">
        <v>125</v>
      </c>
      <c r="G37" s="124" t="s">
        <v>124</v>
      </c>
      <c r="H37" s="124" t="s">
        <v>147</v>
      </c>
      <c r="I37" s="124" t="s">
        <v>146</v>
      </c>
      <c r="J37" s="124">
        <v>0</v>
      </c>
      <c r="K37" s="124" t="s">
        <v>215</v>
      </c>
    </row>
    <row r="38" spans="2:11" x14ac:dyDescent="0.35">
      <c r="B38" s="125" t="s">
        <v>183</v>
      </c>
      <c r="C38" s="125" t="s">
        <v>129</v>
      </c>
      <c r="D38" s="125" t="s">
        <v>130</v>
      </c>
      <c r="E38" s="125" t="s">
        <v>215</v>
      </c>
      <c r="F38" s="125" t="s">
        <v>125</v>
      </c>
      <c r="G38" s="125" t="s">
        <v>124</v>
      </c>
      <c r="H38" s="125" t="s">
        <v>147</v>
      </c>
      <c r="I38" s="125" t="s">
        <v>216</v>
      </c>
      <c r="J38" s="125">
        <v>0</v>
      </c>
      <c r="K38" s="125" t="s">
        <v>130</v>
      </c>
    </row>
    <row r="39" spans="2:11" x14ac:dyDescent="0.35">
      <c r="B39" s="124" t="s">
        <v>184</v>
      </c>
      <c r="C39" s="124" t="s">
        <v>129</v>
      </c>
      <c r="D39" s="124" t="s">
        <v>130</v>
      </c>
      <c r="E39" s="124" t="s">
        <v>215</v>
      </c>
      <c r="F39" s="124" t="s">
        <v>125</v>
      </c>
      <c r="G39" s="124" t="s">
        <v>124</v>
      </c>
      <c r="H39" s="124" t="s">
        <v>147</v>
      </c>
      <c r="I39" s="124" t="s">
        <v>146</v>
      </c>
      <c r="J39" s="124">
        <v>0</v>
      </c>
      <c r="K39" s="124" t="s">
        <v>125</v>
      </c>
    </row>
    <row r="40" spans="2:11" x14ac:dyDescent="0.35">
      <c r="B40" s="125" t="s">
        <v>185</v>
      </c>
      <c r="C40" s="125" t="s">
        <v>129</v>
      </c>
      <c r="D40" s="125" t="s">
        <v>130</v>
      </c>
      <c r="E40" s="125" t="s">
        <v>215</v>
      </c>
      <c r="F40" s="125" t="s">
        <v>125</v>
      </c>
      <c r="G40" s="125" t="s">
        <v>124</v>
      </c>
      <c r="H40" s="125" t="s">
        <v>147</v>
      </c>
      <c r="I40" s="125" t="s">
        <v>146</v>
      </c>
      <c r="J40" s="125">
        <v>0</v>
      </c>
      <c r="K40" s="125" t="s">
        <v>215</v>
      </c>
    </row>
    <row r="41" spans="2:11" x14ac:dyDescent="0.35">
      <c r="B41" s="124" t="s">
        <v>186</v>
      </c>
      <c r="C41" s="124" t="s">
        <v>129</v>
      </c>
      <c r="D41" s="124" t="s">
        <v>130</v>
      </c>
      <c r="E41" s="124" t="s">
        <v>215</v>
      </c>
      <c r="F41" s="124" t="s">
        <v>125</v>
      </c>
      <c r="G41" s="124" t="s">
        <v>123</v>
      </c>
      <c r="H41" s="124" t="s">
        <v>147</v>
      </c>
      <c r="I41" s="124" t="s">
        <v>146</v>
      </c>
      <c r="J41" s="124">
        <v>0</v>
      </c>
      <c r="K41" s="124" t="s">
        <v>129</v>
      </c>
    </row>
    <row r="42" spans="2:11" x14ac:dyDescent="0.35">
      <c r="B42" s="125" t="s">
        <v>187</v>
      </c>
      <c r="C42" s="125" t="s">
        <v>129</v>
      </c>
      <c r="D42" s="125" t="s">
        <v>130</v>
      </c>
      <c r="E42" s="125" t="s">
        <v>215</v>
      </c>
      <c r="F42" s="125" t="s">
        <v>125</v>
      </c>
      <c r="G42" s="125" t="s">
        <v>124</v>
      </c>
      <c r="H42" s="125" t="s">
        <v>147</v>
      </c>
      <c r="I42" s="125" t="s">
        <v>146</v>
      </c>
      <c r="J42" s="125">
        <v>0</v>
      </c>
      <c r="K42" s="125" t="s">
        <v>129</v>
      </c>
    </row>
    <row r="43" spans="2:11" x14ac:dyDescent="0.35">
      <c r="B43" s="124" t="s">
        <v>188</v>
      </c>
      <c r="C43" s="124" t="s">
        <v>129</v>
      </c>
      <c r="D43" s="124" t="s">
        <v>130</v>
      </c>
      <c r="E43" s="124" t="s">
        <v>215</v>
      </c>
      <c r="F43" s="124" t="s">
        <v>125</v>
      </c>
      <c r="G43" s="124" t="s">
        <v>124</v>
      </c>
      <c r="H43" s="124" t="s">
        <v>147</v>
      </c>
      <c r="I43" s="124" t="s">
        <v>146</v>
      </c>
      <c r="J43" s="124">
        <v>0</v>
      </c>
      <c r="K43" s="124" t="s">
        <v>215</v>
      </c>
    </row>
    <row r="44" spans="2:11" x14ac:dyDescent="0.35">
      <c r="B44" s="125" t="s">
        <v>189</v>
      </c>
      <c r="C44" s="125" t="s">
        <v>129</v>
      </c>
      <c r="D44" s="125" t="s">
        <v>130</v>
      </c>
      <c r="E44" s="125" t="s">
        <v>215</v>
      </c>
      <c r="F44" s="125" t="s">
        <v>125</v>
      </c>
      <c r="G44" s="125" t="s">
        <v>124</v>
      </c>
      <c r="H44" s="125" t="s">
        <v>147</v>
      </c>
      <c r="I44" s="125" t="s">
        <v>216</v>
      </c>
      <c r="J44" s="125">
        <v>0</v>
      </c>
      <c r="K44" s="125" t="s">
        <v>215</v>
      </c>
    </row>
    <row r="45" spans="2:11" x14ac:dyDescent="0.35">
      <c r="B45" s="124" t="s">
        <v>190</v>
      </c>
      <c r="C45" s="124" t="s">
        <v>129</v>
      </c>
      <c r="D45" s="124" t="s">
        <v>130</v>
      </c>
      <c r="E45" s="124" t="s">
        <v>215</v>
      </c>
      <c r="F45" s="124" t="s">
        <v>125</v>
      </c>
      <c r="G45" s="124" t="s">
        <v>124</v>
      </c>
      <c r="H45" s="124" t="s">
        <v>147</v>
      </c>
      <c r="I45" s="124" t="s">
        <v>146</v>
      </c>
      <c r="J45" s="124">
        <v>0</v>
      </c>
      <c r="K45" s="124" t="s">
        <v>129</v>
      </c>
    </row>
    <row r="46" spans="2:11" x14ac:dyDescent="0.35">
      <c r="B46" s="125" t="s">
        <v>191</v>
      </c>
      <c r="C46" s="125" t="s">
        <v>129</v>
      </c>
      <c r="D46" s="125" t="s">
        <v>130</v>
      </c>
      <c r="E46" s="125" t="s">
        <v>215</v>
      </c>
      <c r="F46" s="125" t="s">
        <v>125</v>
      </c>
      <c r="G46" s="125" t="s">
        <v>124</v>
      </c>
      <c r="H46" s="125" t="s">
        <v>147</v>
      </c>
      <c r="I46" s="125" t="s">
        <v>216</v>
      </c>
      <c r="J46" s="125">
        <v>0</v>
      </c>
      <c r="K46" s="125" t="s">
        <v>130</v>
      </c>
    </row>
    <row r="47" spans="2:11" x14ac:dyDescent="0.35">
      <c r="B47" s="124" t="s">
        <v>192</v>
      </c>
      <c r="C47" s="124" t="s">
        <v>129</v>
      </c>
      <c r="D47" s="124" t="s">
        <v>130</v>
      </c>
      <c r="E47" s="124" t="s">
        <v>215</v>
      </c>
      <c r="F47" s="124" t="s">
        <v>127</v>
      </c>
      <c r="G47" s="124" t="s">
        <v>123</v>
      </c>
      <c r="H47" s="124" t="s">
        <v>147</v>
      </c>
      <c r="I47" s="124" t="s">
        <v>146</v>
      </c>
      <c r="J47" s="124">
        <v>0</v>
      </c>
      <c r="K47" s="124" t="s">
        <v>146</v>
      </c>
    </row>
    <row r="48" spans="2:11" x14ac:dyDescent="0.35">
      <c r="B48" s="125" t="s">
        <v>193</v>
      </c>
      <c r="C48" s="125" t="s">
        <v>129</v>
      </c>
      <c r="D48" s="125" t="s">
        <v>130</v>
      </c>
      <c r="E48" s="125" t="s">
        <v>215</v>
      </c>
      <c r="F48" s="125" t="s">
        <v>125</v>
      </c>
      <c r="G48" s="125" t="s">
        <v>123</v>
      </c>
      <c r="H48" s="125" t="s">
        <v>147</v>
      </c>
      <c r="I48" s="125" t="s">
        <v>216</v>
      </c>
      <c r="J48" s="125">
        <v>0</v>
      </c>
      <c r="K48" s="125" t="s">
        <v>130</v>
      </c>
    </row>
    <row r="49" spans="2:11" x14ac:dyDescent="0.35">
      <c r="B49" s="124" t="s">
        <v>194</v>
      </c>
      <c r="C49" s="124" t="s">
        <v>129</v>
      </c>
      <c r="D49" s="124" t="s">
        <v>130</v>
      </c>
      <c r="E49" s="124" t="s">
        <v>215</v>
      </c>
      <c r="F49" s="124" t="s">
        <v>125</v>
      </c>
      <c r="G49" s="124" t="s">
        <v>124</v>
      </c>
      <c r="H49" s="124" t="s">
        <v>128</v>
      </c>
      <c r="I49" s="124" t="s">
        <v>216</v>
      </c>
      <c r="J49" s="124">
        <v>0</v>
      </c>
      <c r="K49" s="124" t="s">
        <v>125</v>
      </c>
    </row>
    <row r="50" spans="2:11" x14ac:dyDescent="0.35">
      <c r="B50" s="125" t="s">
        <v>195</v>
      </c>
      <c r="C50" s="125" t="s">
        <v>129</v>
      </c>
      <c r="D50" s="125" t="s">
        <v>130</v>
      </c>
      <c r="E50" s="125" t="s">
        <v>215</v>
      </c>
      <c r="F50" s="125" t="s">
        <v>125</v>
      </c>
      <c r="G50" s="125" t="s">
        <v>123</v>
      </c>
      <c r="H50" s="125" t="s">
        <v>147</v>
      </c>
      <c r="I50" s="125" t="s">
        <v>146</v>
      </c>
      <c r="J50" s="125">
        <v>0</v>
      </c>
      <c r="K50" s="125" t="s">
        <v>125</v>
      </c>
    </row>
    <row r="51" spans="2:11" x14ac:dyDescent="0.35">
      <c r="B51" s="124" t="s">
        <v>144</v>
      </c>
      <c r="C51" s="124" t="s">
        <v>129</v>
      </c>
      <c r="D51" s="124" t="s">
        <v>130</v>
      </c>
      <c r="E51" s="124" t="s">
        <v>215</v>
      </c>
      <c r="F51" s="124" t="s">
        <v>125</v>
      </c>
      <c r="G51" s="124" t="s">
        <v>124</v>
      </c>
      <c r="H51" s="124" t="s">
        <v>147</v>
      </c>
      <c r="I51" s="124" t="s">
        <v>216</v>
      </c>
      <c r="J51" s="124">
        <v>0</v>
      </c>
      <c r="K51" s="124" t="s">
        <v>129</v>
      </c>
    </row>
    <row r="52" spans="2:11" x14ac:dyDescent="0.35">
      <c r="B52" s="125" t="s">
        <v>196</v>
      </c>
      <c r="C52" s="125" t="s">
        <v>129</v>
      </c>
      <c r="D52" s="125" t="s">
        <v>130</v>
      </c>
      <c r="E52" s="125" t="s">
        <v>215</v>
      </c>
      <c r="F52" s="125" t="s">
        <v>125</v>
      </c>
      <c r="G52" s="125" t="s">
        <v>123</v>
      </c>
      <c r="H52" s="125" t="s">
        <v>147</v>
      </c>
      <c r="I52" s="125" t="s">
        <v>146</v>
      </c>
      <c r="J52" s="125">
        <v>0</v>
      </c>
      <c r="K52" s="125" t="s">
        <v>130</v>
      </c>
    </row>
    <row r="53" spans="2:11" x14ac:dyDescent="0.35">
      <c r="B53" s="124" t="s">
        <v>197</v>
      </c>
      <c r="C53" s="124" t="s">
        <v>129</v>
      </c>
      <c r="D53" s="124" t="s">
        <v>130</v>
      </c>
      <c r="E53" s="124" t="s">
        <v>215</v>
      </c>
      <c r="F53" s="124" t="s">
        <v>127</v>
      </c>
      <c r="G53" s="124" t="s">
        <v>124</v>
      </c>
      <c r="H53" s="124" t="s">
        <v>147</v>
      </c>
      <c r="I53" s="124" t="s">
        <v>146</v>
      </c>
      <c r="J53" s="124">
        <v>0</v>
      </c>
      <c r="K53" s="124" t="s">
        <v>147</v>
      </c>
    </row>
    <row r="54" spans="2:11" x14ac:dyDescent="0.35">
      <c r="B54" s="125" t="s">
        <v>198</v>
      </c>
      <c r="C54" s="125" t="s">
        <v>129</v>
      </c>
      <c r="D54" s="125" t="s">
        <v>130</v>
      </c>
      <c r="E54" s="125" t="s">
        <v>215</v>
      </c>
      <c r="F54" s="125" t="s">
        <v>125</v>
      </c>
      <c r="G54" s="125" t="s">
        <v>124</v>
      </c>
      <c r="H54" s="125" t="s">
        <v>147</v>
      </c>
      <c r="I54" s="125" t="s">
        <v>216</v>
      </c>
      <c r="J54" s="125">
        <v>0</v>
      </c>
      <c r="K54" s="125" t="s">
        <v>215</v>
      </c>
    </row>
    <row r="55" spans="2:11" x14ac:dyDescent="0.35">
      <c r="B55" s="124" t="s">
        <v>199</v>
      </c>
      <c r="C55" s="124" t="s">
        <v>129</v>
      </c>
      <c r="D55" s="124" t="s">
        <v>130</v>
      </c>
      <c r="E55" s="124" t="s">
        <v>215</v>
      </c>
      <c r="F55" s="124" t="s">
        <v>125</v>
      </c>
      <c r="G55" s="124" t="s">
        <v>124</v>
      </c>
      <c r="H55" s="124" t="s">
        <v>128</v>
      </c>
      <c r="I55" s="124" t="s">
        <v>216</v>
      </c>
      <c r="J55" s="124">
        <v>0</v>
      </c>
      <c r="K55" s="124" t="s">
        <v>215</v>
      </c>
    </row>
    <row r="56" spans="2:11" x14ac:dyDescent="0.35">
      <c r="B56" s="125" t="s">
        <v>200</v>
      </c>
      <c r="C56" s="125" t="s">
        <v>129</v>
      </c>
      <c r="D56" s="125" t="s">
        <v>121</v>
      </c>
      <c r="E56" s="125" t="s">
        <v>215</v>
      </c>
      <c r="F56" s="125" t="s">
        <v>125</v>
      </c>
      <c r="G56" s="125" t="s">
        <v>123</v>
      </c>
      <c r="H56" s="125" t="s">
        <v>147</v>
      </c>
      <c r="I56" s="125" t="s">
        <v>146</v>
      </c>
      <c r="J56" s="125">
        <v>0</v>
      </c>
      <c r="K56" s="125" t="s">
        <v>125</v>
      </c>
    </row>
    <row r="57" spans="2:11" x14ac:dyDescent="0.35">
      <c r="B57" s="124" t="s">
        <v>201</v>
      </c>
      <c r="C57" s="124" t="s">
        <v>129</v>
      </c>
      <c r="D57" s="124" t="s">
        <v>130</v>
      </c>
      <c r="E57" s="124" t="s">
        <v>215</v>
      </c>
      <c r="F57" s="124" t="s">
        <v>125</v>
      </c>
      <c r="G57" s="124" t="s">
        <v>124</v>
      </c>
      <c r="H57" s="124" t="s">
        <v>147</v>
      </c>
      <c r="I57" s="124" t="s">
        <v>216</v>
      </c>
      <c r="J57" s="124">
        <v>0</v>
      </c>
      <c r="K57" s="124" t="s">
        <v>215</v>
      </c>
    </row>
    <row r="58" spans="2:11" x14ac:dyDescent="0.35">
      <c r="B58" s="125" t="s">
        <v>202</v>
      </c>
      <c r="C58" s="125" t="s">
        <v>129</v>
      </c>
      <c r="D58" s="125" t="s">
        <v>130</v>
      </c>
      <c r="E58" s="125" t="s">
        <v>215</v>
      </c>
      <c r="F58" s="125" t="s">
        <v>125</v>
      </c>
      <c r="G58" s="125" t="s">
        <v>123</v>
      </c>
      <c r="H58" s="125" t="s">
        <v>147</v>
      </c>
      <c r="I58" s="125" t="s">
        <v>146</v>
      </c>
      <c r="J58" s="125">
        <v>0</v>
      </c>
      <c r="K58" s="125" t="s">
        <v>129</v>
      </c>
    </row>
    <row r="59" spans="2:11" x14ac:dyDescent="0.35">
      <c r="B59" s="124" t="s">
        <v>203</v>
      </c>
      <c r="C59" s="124" t="s">
        <v>129</v>
      </c>
      <c r="D59" s="124" t="s">
        <v>130</v>
      </c>
      <c r="E59" s="124" t="s">
        <v>215</v>
      </c>
      <c r="F59" s="124" t="s">
        <v>125</v>
      </c>
      <c r="G59" s="124" t="s">
        <v>124</v>
      </c>
      <c r="H59" s="124" t="s">
        <v>147</v>
      </c>
      <c r="I59" s="124" t="s">
        <v>146</v>
      </c>
      <c r="J59" s="124">
        <v>0</v>
      </c>
      <c r="K59" s="124" t="s">
        <v>129</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129</v>
      </c>
      <c r="D3" t="s">
        <v>130</v>
      </c>
      <c r="E3" t="s">
        <v>215</v>
      </c>
      <c r="F3" t="s">
        <v>125</v>
      </c>
      <c r="G3" t="s">
        <v>124</v>
      </c>
      <c r="H3" t="s">
        <v>147</v>
      </c>
      <c r="I3" t="s">
        <v>216</v>
      </c>
      <c r="J3" t="s">
        <v>84</v>
      </c>
      <c r="K3" t="s">
        <v>215</v>
      </c>
      <c r="L3">
        <v>72</v>
      </c>
      <c r="M3">
        <v>2731</v>
      </c>
      <c r="N3" t="s">
        <v>217</v>
      </c>
      <c r="O3" t="s">
        <v>132</v>
      </c>
      <c r="P3" t="s">
        <v>129</v>
      </c>
      <c r="Q3" t="s">
        <v>218</v>
      </c>
      <c r="R3">
        <v>16</v>
      </c>
      <c r="S3">
        <v>7</v>
      </c>
    </row>
    <row r="4" spans="1:19" x14ac:dyDescent="0.35">
      <c r="A4" t="s">
        <v>151</v>
      </c>
      <c r="B4">
        <v>1</v>
      </c>
      <c r="C4" t="s">
        <v>129</v>
      </c>
      <c r="D4" t="s">
        <v>130</v>
      </c>
      <c r="E4" t="s">
        <v>215</v>
      </c>
      <c r="F4" t="s">
        <v>125</v>
      </c>
      <c r="G4" t="s">
        <v>124</v>
      </c>
      <c r="H4" t="s">
        <v>147</v>
      </c>
      <c r="I4" t="s">
        <v>146</v>
      </c>
      <c r="J4" t="s">
        <v>84</v>
      </c>
      <c r="K4" t="s">
        <v>130</v>
      </c>
      <c r="L4">
        <v>78</v>
      </c>
      <c r="M4">
        <v>2767</v>
      </c>
      <c r="N4" t="s">
        <v>219</v>
      </c>
      <c r="O4" t="s">
        <v>130</v>
      </c>
      <c r="P4" t="s">
        <v>121</v>
      </c>
      <c r="Q4" t="s">
        <v>220</v>
      </c>
    </row>
    <row r="5" spans="1:19" x14ac:dyDescent="0.35">
      <c r="A5" t="s">
        <v>152</v>
      </c>
      <c r="B5">
        <v>1</v>
      </c>
      <c r="C5" t="s">
        <v>129</v>
      </c>
      <c r="D5" t="s">
        <v>130</v>
      </c>
      <c r="E5" t="s">
        <v>215</v>
      </c>
      <c r="F5" t="s">
        <v>125</v>
      </c>
      <c r="G5" t="s">
        <v>124</v>
      </c>
      <c r="H5" t="s">
        <v>147</v>
      </c>
      <c r="I5" t="s">
        <v>216</v>
      </c>
      <c r="J5" t="s">
        <v>84</v>
      </c>
      <c r="K5" t="s">
        <v>215</v>
      </c>
      <c r="L5">
        <v>58</v>
      </c>
      <c r="M5">
        <v>2766</v>
      </c>
      <c r="N5" t="s">
        <v>221</v>
      </c>
      <c r="O5" t="s">
        <v>215</v>
      </c>
      <c r="P5" t="s">
        <v>222</v>
      </c>
      <c r="Q5" t="s">
        <v>223</v>
      </c>
      <c r="R5" t="s">
        <v>224</v>
      </c>
      <c r="S5">
        <v>54</v>
      </c>
    </row>
    <row r="6" spans="1:19" x14ac:dyDescent="0.35">
      <c r="A6" t="s">
        <v>153</v>
      </c>
      <c r="B6">
        <v>1</v>
      </c>
      <c r="C6" t="s">
        <v>129</v>
      </c>
      <c r="D6" t="s">
        <v>130</v>
      </c>
      <c r="E6" t="s">
        <v>215</v>
      </c>
      <c r="F6" t="s">
        <v>125</v>
      </c>
      <c r="G6" t="s">
        <v>123</v>
      </c>
      <c r="H6" t="s">
        <v>147</v>
      </c>
      <c r="I6" t="s">
        <v>146</v>
      </c>
      <c r="J6" t="s">
        <v>84</v>
      </c>
      <c r="K6" t="s">
        <v>147</v>
      </c>
      <c r="L6">
        <v>56</v>
      </c>
      <c r="M6">
        <v>2711</v>
      </c>
      <c r="N6" t="s">
        <v>225</v>
      </c>
      <c r="O6" t="s">
        <v>127</v>
      </c>
      <c r="P6" t="s">
        <v>125</v>
      </c>
      <c r="Q6" t="s">
        <v>226</v>
      </c>
      <c r="R6" t="s">
        <v>105</v>
      </c>
      <c r="S6">
        <v>53</v>
      </c>
    </row>
    <row r="7" spans="1:19" x14ac:dyDescent="0.35">
      <c r="A7" t="s">
        <v>154</v>
      </c>
      <c r="B7">
        <v>1</v>
      </c>
      <c r="C7" t="s">
        <v>129</v>
      </c>
      <c r="D7" t="s">
        <v>130</v>
      </c>
      <c r="E7" t="s">
        <v>215</v>
      </c>
      <c r="F7" t="s">
        <v>125</v>
      </c>
      <c r="G7" t="s">
        <v>124</v>
      </c>
      <c r="H7" t="s">
        <v>147</v>
      </c>
      <c r="I7" t="s">
        <v>146</v>
      </c>
      <c r="J7" t="s">
        <v>84</v>
      </c>
      <c r="K7" t="s">
        <v>129</v>
      </c>
      <c r="L7">
        <v>71</v>
      </c>
      <c r="M7">
        <v>2835</v>
      </c>
      <c r="N7" t="s">
        <v>227</v>
      </c>
      <c r="O7" t="s">
        <v>124</v>
      </c>
      <c r="P7" t="s">
        <v>123</v>
      </c>
      <c r="Q7" t="s">
        <v>228</v>
      </c>
      <c r="R7" t="s">
        <v>48</v>
      </c>
      <c r="S7">
        <v>53</v>
      </c>
    </row>
    <row r="8" spans="1:19" x14ac:dyDescent="0.35">
      <c r="A8" t="s">
        <v>155</v>
      </c>
      <c r="B8">
        <v>1</v>
      </c>
      <c r="C8" t="s">
        <v>129</v>
      </c>
      <c r="D8" t="s">
        <v>130</v>
      </c>
      <c r="E8" t="s">
        <v>215</v>
      </c>
      <c r="F8" t="s">
        <v>125</v>
      </c>
      <c r="G8" t="s">
        <v>124</v>
      </c>
      <c r="H8" t="s">
        <v>147</v>
      </c>
      <c r="I8" t="s">
        <v>216</v>
      </c>
      <c r="J8" t="s">
        <v>84</v>
      </c>
      <c r="K8" t="s">
        <v>215</v>
      </c>
      <c r="L8">
        <v>59</v>
      </c>
      <c r="M8">
        <v>2664</v>
      </c>
      <c r="N8" t="s">
        <v>229</v>
      </c>
      <c r="O8" t="s">
        <v>147</v>
      </c>
      <c r="P8" t="s">
        <v>128</v>
      </c>
      <c r="Q8" t="s">
        <v>230</v>
      </c>
    </row>
    <row r="9" spans="1:19" x14ac:dyDescent="0.35">
      <c r="A9" t="s">
        <v>156</v>
      </c>
      <c r="B9">
        <v>1</v>
      </c>
      <c r="C9" t="s">
        <v>129</v>
      </c>
      <c r="D9" t="s">
        <v>130</v>
      </c>
      <c r="E9" t="s">
        <v>215</v>
      </c>
      <c r="F9" t="s">
        <v>125</v>
      </c>
      <c r="G9" t="s">
        <v>124</v>
      </c>
      <c r="H9" t="s">
        <v>147</v>
      </c>
      <c r="I9" t="s">
        <v>216</v>
      </c>
      <c r="J9" t="s">
        <v>84</v>
      </c>
      <c r="K9" t="s">
        <v>130</v>
      </c>
      <c r="L9">
        <v>77</v>
      </c>
      <c r="M9">
        <v>2835</v>
      </c>
      <c r="N9" t="s">
        <v>231</v>
      </c>
      <c r="O9" t="s">
        <v>146</v>
      </c>
      <c r="P9" t="s">
        <v>216</v>
      </c>
      <c r="Q9" t="s">
        <v>232</v>
      </c>
    </row>
    <row r="10" spans="1:19" x14ac:dyDescent="0.35">
      <c r="A10" t="s">
        <v>157</v>
      </c>
      <c r="B10">
        <v>1</v>
      </c>
      <c r="C10" t="s">
        <v>129</v>
      </c>
      <c r="D10" t="s">
        <v>130</v>
      </c>
      <c r="E10" t="s">
        <v>215</v>
      </c>
      <c r="F10" t="s">
        <v>127</v>
      </c>
      <c r="G10" t="s">
        <v>123</v>
      </c>
      <c r="H10" t="s">
        <v>128</v>
      </c>
      <c r="I10" t="s">
        <v>146</v>
      </c>
      <c r="J10" t="s">
        <v>84</v>
      </c>
      <c r="K10" t="s">
        <v>129</v>
      </c>
      <c r="L10">
        <v>66</v>
      </c>
      <c r="M10">
        <v>2747</v>
      </c>
      <c r="N10" t="s">
        <v>233</v>
      </c>
      <c r="O10" t="s">
        <v>84</v>
      </c>
      <c r="P10" t="s">
        <v>84</v>
      </c>
      <c r="Q10" t="s">
        <v>234</v>
      </c>
    </row>
    <row r="11" spans="1:19" x14ac:dyDescent="0.35">
      <c r="A11" t="s">
        <v>158</v>
      </c>
      <c r="B11">
        <v>1</v>
      </c>
      <c r="C11" t="s">
        <v>129</v>
      </c>
      <c r="D11" t="s">
        <v>130</v>
      </c>
      <c r="E11" t="s">
        <v>222</v>
      </c>
      <c r="F11" t="s">
        <v>125</v>
      </c>
      <c r="G11" t="s">
        <v>123</v>
      </c>
      <c r="H11" t="s">
        <v>147</v>
      </c>
      <c r="I11" t="s">
        <v>216</v>
      </c>
      <c r="J11" t="s">
        <v>84</v>
      </c>
      <c r="K11" t="s">
        <v>129</v>
      </c>
      <c r="L11">
        <v>43</v>
      </c>
      <c r="M11">
        <v>2583</v>
      </c>
    </row>
    <row r="12" spans="1:19" x14ac:dyDescent="0.35">
      <c r="A12" t="s">
        <v>159</v>
      </c>
      <c r="B12">
        <v>1</v>
      </c>
      <c r="C12" t="s">
        <v>129</v>
      </c>
      <c r="D12" t="s">
        <v>130</v>
      </c>
      <c r="E12" t="s">
        <v>215</v>
      </c>
      <c r="F12" t="s">
        <v>125</v>
      </c>
      <c r="G12" t="s">
        <v>123</v>
      </c>
      <c r="H12" t="s">
        <v>147</v>
      </c>
      <c r="I12" t="s">
        <v>216</v>
      </c>
      <c r="J12" t="s">
        <v>84</v>
      </c>
      <c r="K12" t="s">
        <v>129</v>
      </c>
      <c r="L12">
        <v>74</v>
      </c>
      <c r="M12">
        <v>2763</v>
      </c>
    </row>
    <row r="13" spans="1:19" x14ac:dyDescent="0.35">
      <c r="A13" t="s">
        <v>160</v>
      </c>
      <c r="B13">
        <v>1</v>
      </c>
      <c r="C13" t="s">
        <v>129</v>
      </c>
      <c r="D13" t="s">
        <v>130</v>
      </c>
      <c r="E13" t="s">
        <v>215</v>
      </c>
      <c r="F13" t="s">
        <v>125</v>
      </c>
      <c r="G13" t="s">
        <v>123</v>
      </c>
      <c r="H13" t="s">
        <v>147</v>
      </c>
      <c r="I13" t="s">
        <v>216</v>
      </c>
      <c r="J13" t="s">
        <v>84</v>
      </c>
      <c r="K13" t="s">
        <v>129</v>
      </c>
      <c r="L13">
        <v>72</v>
      </c>
      <c r="M13">
        <v>2802</v>
      </c>
    </row>
    <row r="14" spans="1:19" x14ac:dyDescent="0.35">
      <c r="A14" t="s">
        <v>161</v>
      </c>
      <c r="B14">
        <v>1</v>
      </c>
      <c r="C14" t="s">
        <v>129</v>
      </c>
      <c r="D14" t="s">
        <v>130</v>
      </c>
      <c r="E14" t="s">
        <v>215</v>
      </c>
      <c r="F14" t="s">
        <v>125</v>
      </c>
      <c r="G14" t="s">
        <v>123</v>
      </c>
      <c r="H14" t="s">
        <v>147</v>
      </c>
      <c r="I14" t="s">
        <v>146</v>
      </c>
      <c r="J14" t="s">
        <v>84</v>
      </c>
      <c r="K14" t="s">
        <v>129</v>
      </c>
      <c r="L14">
        <v>69</v>
      </c>
      <c r="M14">
        <v>2795</v>
      </c>
    </row>
    <row r="15" spans="1:19" x14ac:dyDescent="0.35">
      <c r="A15" t="s">
        <v>162</v>
      </c>
      <c r="B15">
        <v>1</v>
      </c>
      <c r="C15" t="s">
        <v>129</v>
      </c>
      <c r="D15" t="s">
        <v>130</v>
      </c>
      <c r="E15" t="s">
        <v>215</v>
      </c>
      <c r="F15" t="s">
        <v>125</v>
      </c>
      <c r="G15" t="s">
        <v>124</v>
      </c>
      <c r="H15" t="s">
        <v>147</v>
      </c>
      <c r="I15" t="s">
        <v>216</v>
      </c>
      <c r="J15" t="s">
        <v>84</v>
      </c>
      <c r="K15" t="s">
        <v>129</v>
      </c>
      <c r="L15">
        <v>61</v>
      </c>
      <c r="M15">
        <v>2787</v>
      </c>
    </row>
    <row r="16" spans="1:19" x14ac:dyDescent="0.35">
      <c r="A16" t="s">
        <v>163</v>
      </c>
      <c r="B16">
        <v>1</v>
      </c>
      <c r="C16" t="s">
        <v>129</v>
      </c>
      <c r="D16" t="s">
        <v>130</v>
      </c>
      <c r="E16" t="s">
        <v>215</v>
      </c>
      <c r="F16" t="s">
        <v>125</v>
      </c>
      <c r="G16" t="s">
        <v>123</v>
      </c>
      <c r="H16" t="s">
        <v>147</v>
      </c>
      <c r="I16" t="s">
        <v>216</v>
      </c>
      <c r="J16" t="s">
        <v>84</v>
      </c>
      <c r="K16" t="s">
        <v>215</v>
      </c>
      <c r="L16">
        <v>85</v>
      </c>
      <c r="M16">
        <v>2801</v>
      </c>
    </row>
    <row r="17" spans="1:13" x14ac:dyDescent="0.35">
      <c r="A17" t="s">
        <v>164</v>
      </c>
      <c r="B17">
        <v>1</v>
      </c>
      <c r="C17" t="s">
        <v>129</v>
      </c>
      <c r="D17" t="s">
        <v>130</v>
      </c>
      <c r="E17" t="s">
        <v>215</v>
      </c>
      <c r="F17" t="s">
        <v>125</v>
      </c>
      <c r="G17" t="s">
        <v>124</v>
      </c>
      <c r="H17" t="s">
        <v>147</v>
      </c>
      <c r="I17" t="s">
        <v>216</v>
      </c>
      <c r="J17" t="s">
        <v>84</v>
      </c>
      <c r="K17" t="s">
        <v>129</v>
      </c>
      <c r="L17">
        <v>75</v>
      </c>
      <c r="M17">
        <v>2737</v>
      </c>
    </row>
    <row r="18" spans="1:13" x14ac:dyDescent="0.35">
      <c r="A18" t="s">
        <v>165</v>
      </c>
      <c r="B18">
        <v>1</v>
      </c>
      <c r="C18" t="s">
        <v>129</v>
      </c>
      <c r="D18" t="s">
        <v>130</v>
      </c>
      <c r="E18" t="s">
        <v>215</v>
      </c>
      <c r="F18" t="s">
        <v>125</v>
      </c>
      <c r="G18" t="s">
        <v>124</v>
      </c>
      <c r="H18" t="s">
        <v>147</v>
      </c>
      <c r="I18" t="s">
        <v>216</v>
      </c>
      <c r="J18" t="s">
        <v>84</v>
      </c>
      <c r="K18" t="s">
        <v>129</v>
      </c>
      <c r="L18">
        <v>67</v>
      </c>
      <c r="M18">
        <v>2813</v>
      </c>
    </row>
    <row r="19" spans="1:13" x14ac:dyDescent="0.35">
      <c r="A19" t="s">
        <v>166</v>
      </c>
      <c r="B19">
        <v>1</v>
      </c>
      <c r="C19" t="s">
        <v>129</v>
      </c>
      <c r="D19" t="s">
        <v>130</v>
      </c>
      <c r="E19" t="s">
        <v>215</v>
      </c>
      <c r="F19" t="s">
        <v>125</v>
      </c>
      <c r="G19" t="s">
        <v>124</v>
      </c>
      <c r="H19" t="s">
        <v>147</v>
      </c>
      <c r="I19" t="s">
        <v>216</v>
      </c>
      <c r="J19" t="s">
        <v>84</v>
      </c>
      <c r="K19" t="s">
        <v>129</v>
      </c>
      <c r="L19">
        <v>82</v>
      </c>
      <c r="M19">
        <v>2807</v>
      </c>
    </row>
    <row r="20" spans="1:13" x14ac:dyDescent="0.35">
      <c r="A20" t="s">
        <v>167</v>
      </c>
      <c r="B20">
        <v>1</v>
      </c>
      <c r="C20" t="s">
        <v>129</v>
      </c>
      <c r="D20" t="s">
        <v>130</v>
      </c>
      <c r="E20" t="s">
        <v>215</v>
      </c>
      <c r="F20" t="s">
        <v>125</v>
      </c>
      <c r="G20" t="s">
        <v>123</v>
      </c>
      <c r="H20" t="s">
        <v>147</v>
      </c>
      <c r="I20" t="s">
        <v>146</v>
      </c>
      <c r="J20" t="s">
        <v>84</v>
      </c>
      <c r="K20" t="s">
        <v>130</v>
      </c>
      <c r="L20">
        <v>63</v>
      </c>
      <c r="M20">
        <v>2703</v>
      </c>
    </row>
    <row r="21" spans="1:13" x14ac:dyDescent="0.35">
      <c r="A21" t="s">
        <v>168</v>
      </c>
      <c r="B21">
        <v>1</v>
      </c>
      <c r="C21" t="s">
        <v>129</v>
      </c>
      <c r="D21" t="s">
        <v>130</v>
      </c>
      <c r="E21" t="s">
        <v>215</v>
      </c>
      <c r="F21" t="s">
        <v>125</v>
      </c>
      <c r="G21" t="s">
        <v>124</v>
      </c>
      <c r="H21" t="s">
        <v>147</v>
      </c>
      <c r="I21" t="s">
        <v>216</v>
      </c>
      <c r="J21" t="s">
        <v>84</v>
      </c>
      <c r="K21" t="s">
        <v>129</v>
      </c>
      <c r="L21">
        <v>73</v>
      </c>
      <c r="M21">
        <v>2798</v>
      </c>
    </row>
    <row r="22" spans="1:13" x14ac:dyDescent="0.35">
      <c r="A22" t="s">
        <v>169</v>
      </c>
      <c r="B22">
        <v>1</v>
      </c>
      <c r="C22" t="s">
        <v>129</v>
      </c>
      <c r="D22" t="s">
        <v>130</v>
      </c>
      <c r="E22" t="s">
        <v>215</v>
      </c>
      <c r="F22" t="s">
        <v>125</v>
      </c>
      <c r="G22" t="s">
        <v>124</v>
      </c>
      <c r="H22" t="s">
        <v>147</v>
      </c>
      <c r="I22" t="s">
        <v>146</v>
      </c>
      <c r="J22" t="s">
        <v>84</v>
      </c>
      <c r="K22" t="s">
        <v>215</v>
      </c>
      <c r="L22">
        <v>61</v>
      </c>
      <c r="M22">
        <v>2817</v>
      </c>
    </row>
    <row r="23" spans="1:13" x14ac:dyDescent="0.35">
      <c r="A23" t="s">
        <v>170</v>
      </c>
      <c r="B23">
        <v>1</v>
      </c>
      <c r="C23" t="s">
        <v>129</v>
      </c>
      <c r="D23" t="s">
        <v>121</v>
      </c>
      <c r="E23" t="s">
        <v>215</v>
      </c>
      <c r="F23" t="s">
        <v>125</v>
      </c>
      <c r="G23" t="s">
        <v>123</v>
      </c>
      <c r="H23" t="s">
        <v>147</v>
      </c>
      <c r="I23" t="s">
        <v>146</v>
      </c>
      <c r="J23" t="s">
        <v>84</v>
      </c>
      <c r="K23" t="s">
        <v>129</v>
      </c>
      <c r="L23">
        <v>47</v>
      </c>
      <c r="M23">
        <v>2632</v>
      </c>
    </row>
    <row r="24" spans="1:13" x14ac:dyDescent="0.35">
      <c r="A24" t="s">
        <v>171</v>
      </c>
      <c r="B24">
        <v>1</v>
      </c>
      <c r="C24" t="s">
        <v>129</v>
      </c>
      <c r="D24" t="s">
        <v>121</v>
      </c>
      <c r="E24" t="s">
        <v>215</v>
      </c>
      <c r="F24" t="s">
        <v>125</v>
      </c>
      <c r="G24" t="s">
        <v>123</v>
      </c>
      <c r="H24" t="s">
        <v>147</v>
      </c>
      <c r="I24" t="s">
        <v>146</v>
      </c>
      <c r="J24" t="s">
        <v>84</v>
      </c>
      <c r="K24" t="s">
        <v>147</v>
      </c>
      <c r="L24">
        <v>51</v>
      </c>
      <c r="M24">
        <v>2633</v>
      </c>
    </row>
    <row r="25" spans="1:13" x14ac:dyDescent="0.35">
      <c r="A25" t="s">
        <v>172</v>
      </c>
      <c r="B25">
        <v>1</v>
      </c>
      <c r="C25" t="s">
        <v>129</v>
      </c>
      <c r="D25" t="s">
        <v>130</v>
      </c>
      <c r="E25" t="s">
        <v>215</v>
      </c>
      <c r="F25" t="s">
        <v>125</v>
      </c>
      <c r="G25" t="s">
        <v>124</v>
      </c>
      <c r="H25" t="s">
        <v>147</v>
      </c>
      <c r="I25" t="s">
        <v>216</v>
      </c>
      <c r="J25" t="s">
        <v>84</v>
      </c>
      <c r="K25" t="s">
        <v>129</v>
      </c>
      <c r="L25">
        <v>60</v>
      </c>
      <c r="M25">
        <v>2645</v>
      </c>
    </row>
    <row r="26" spans="1:13" x14ac:dyDescent="0.35">
      <c r="A26" t="s">
        <v>173</v>
      </c>
      <c r="B26">
        <v>1</v>
      </c>
      <c r="C26" t="s">
        <v>129</v>
      </c>
      <c r="D26" t="s">
        <v>130</v>
      </c>
      <c r="E26" t="s">
        <v>215</v>
      </c>
      <c r="F26" t="s">
        <v>125</v>
      </c>
      <c r="G26" t="s">
        <v>124</v>
      </c>
      <c r="H26" t="s">
        <v>147</v>
      </c>
      <c r="I26" t="s">
        <v>146</v>
      </c>
      <c r="J26" t="s">
        <v>84</v>
      </c>
      <c r="K26" t="s">
        <v>215</v>
      </c>
      <c r="L26">
        <v>71</v>
      </c>
      <c r="M26">
        <v>2741</v>
      </c>
    </row>
    <row r="27" spans="1:13" x14ac:dyDescent="0.35">
      <c r="A27" t="s">
        <v>174</v>
      </c>
      <c r="B27">
        <v>1</v>
      </c>
      <c r="C27" t="s">
        <v>132</v>
      </c>
      <c r="D27" t="s">
        <v>130</v>
      </c>
      <c r="E27" t="s">
        <v>215</v>
      </c>
      <c r="F27" t="s">
        <v>125</v>
      </c>
      <c r="G27" t="s">
        <v>123</v>
      </c>
      <c r="H27" t="s">
        <v>147</v>
      </c>
      <c r="I27" t="s">
        <v>216</v>
      </c>
      <c r="J27" t="s">
        <v>84</v>
      </c>
      <c r="K27" t="s">
        <v>215</v>
      </c>
      <c r="L27">
        <v>56</v>
      </c>
      <c r="M27">
        <v>2730</v>
      </c>
    </row>
    <row r="28" spans="1:13" x14ac:dyDescent="0.35">
      <c r="A28" t="s">
        <v>175</v>
      </c>
      <c r="B28">
        <v>1</v>
      </c>
      <c r="C28" t="s">
        <v>129</v>
      </c>
      <c r="D28" t="s">
        <v>130</v>
      </c>
      <c r="E28" t="s">
        <v>215</v>
      </c>
      <c r="F28" t="s">
        <v>125</v>
      </c>
      <c r="G28" t="s">
        <v>124</v>
      </c>
      <c r="H28" t="s">
        <v>147</v>
      </c>
      <c r="I28" t="s">
        <v>146</v>
      </c>
      <c r="J28" t="s">
        <v>84</v>
      </c>
      <c r="K28" t="s">
        <v>129</v>
      </c>
      <c r="L28">
        <v>76</v>
      </c>
      <c r="M28">
        <v>2821</v>
      </c>
    </row>
    <row r="29" spans="1:13" x14ac:dyDescent="0.35">
      <c r="A29" t="s">
        <v>176</v>
      </c>
      <c r="B29">
        <v>1</v>
      </c>
      <c r="C29" t="s">
        <v>129</v>
      </c>
      <c r="D29" t="s">
        <v>130</v>
      </c>
      <c r="E29" t="s">
        <v>215</v>
      </c>
      <c r="F29" t="s">
        <v>125</v>
      </c>
      <c r="G29" t="s">
        <v>124</v>
      </c>
      <c r="H29" t="s">
        <v>147</v>
      </c>
      <c r="I29" t="s">
        <v>146</v>
      </c>
      <c r="J29" t="s">
        <v>84</v>
      </c>
      <c r="K29" t="s">
        <v>130</v>
      </c>
      <c r="L29">
        <v>66</v>
      </c>
      <c r="M29">
        <v>2684</v>
      </c>
    </row>
    <row r="30" spans="1:13" x14ac:dyDescent="0.35">
      <c r="A30" t="s">
        <v>177</v>
      </c>
      <c r="B30">
        <v>1</v>
      </c>
      <c r="C30" t="s">
        <v>129</v>
      </c>
      <c r="D30" t="s">
        <v>130</v>
      </c>
      <c r="E30" t="s">
        <v>215</v>
      </c>
      <c r="F30" t="s">
        <v>125</v>
      </c>
      <c r="G30" t="s">
        <v>123</v>
      </c>
      <c r="H30" t="s">
        <v>147</v>
      </c>
      <c r="I30" t="s">
        <v>216</v>
      </c>
      <c r="J30" t="s">
        <v>84</v>
      </c>
      <c r="K30" t="s">
        <v>129</v>
      </c>
      <c r="L30">
        <v>71</v>
      </c>
      <c r="M30">
        <v>2898</v>
      </c>
    </row>
    <row r="31" spans="1:13" x14ac:dyDescent="0.35">
      <c r="A31" t="s">
        <v>178</v>
      </c>
      <c r="B31">
        <v>0</v>
      </c>
      <c r="C31" t="s">
        <v>84</v>
      </c>
      <c r="D31" t="s">
        <v>84</v>
      </c>
      <c r="E31" t="s">
        <v>84</v>
      </c>
      <c r="F31" t="s">
        <v>84</v>
      </c>
      <c r="G31" t="s">
        <v>84</v>
      </c>
      <c r="H31" t="s">
        <v>84</v>
      </c>
      <c r="I31" t="s">
        <v>84</v>
      </c>
      <c r="J31" t="s">
        <v>84</v>
      </c>
      <c r="K31" t="s">
        <v>84</v>
      </c>
      <c r="L31">
        <v>20</v>
      </c>
      <c r="M31">
        <v>2292</v>
      </c>
    </row>
    <row r="32" spans="1:13" x14ac:dyDescent="0.35">
      <c r="A32" t="s">
        <v>179</v>
      </c>
      <c r="B32">
        <v>1</v>
      </c>
      <c r="C32" t="s">
        <v>129</v>
      </c>
      <c r="D32" t="s">
        <v>130</v>
      </c>
      <c r="E32" t="s">
        <v>215</v>
      </c>
      <c r="F32" t="s">
        <v>125</v>
      </c>
      <c r="G32" t="s">
        <v>124</v>
      </c>
      <c r="H32" t="s">
        <v>147</v>
      </c>
      <c r="I32" t="s">
        <v>146</v>
      </c>
      <c r="J32" t="s">
        <v>84</v>
      </c>
      <c r="K32" t="s">
        <v>129</v>
      </c>
      <c r="L32">
        <v>76</v>
      </c>
      <c r="M32">
        <v>2744</v>
      </c>
    </row>
    <row r="33" spans="1:13" x14ac:dyDescent="0.35">
      <c r="A33" t="s">
        <v>180</v>
      </c>
      <c r="B33">
        <v>1</v>
      </c>
      <c r="C33" t="s">
        <v>129</v>
      </c>
      <c r="D33" t="s">
        <v>130</v>
      </c>
      <c r="E33" t="s">
        <v>215</v>
      </c>
      <c r="F33" t="s">
        <v>125</v>
      </c>
      <c r="G33" t="s">
        <v>124</v>
      </c>
      <c r="H33" t="s">
        <v>147</v>
      </c>
      <c r="I33" t="s">
        <v>146</v>
      </c>
      <c r="J33" t="s">
        <v>84</v>
      </c>
      <c r="K33" t="s">
        <v>129</v>
      </c>
      <c r="L33">
        <v>65</v>
      </c>
      <c r="M33">
        <v>2744</v>
      </c>
    </row>
    <row r="34" spans="1:13" x14ac:dyDescent="0.35">
      <c r="A34" t="s">
        <v>181</v>
      </c>
      <c r="B34">
        <v>1</v>
      </c>
      <c r="C34" t="s">
        <v>129</v>
      </c>
      <c r="D34" t="s">
        <v>130</v>
      </c>
      <c r="E34" t="s">
        <v>215</v>
      </c>
      <c r="F34" t="s">
        <v>125</v>
      </c>
      <c r="G34" t="s">
        <v>124</v>
      </c>
      <c r="H34" t="s">
        <v>147</v>
      </c>
      <c r="I34" t="s">
        <v>216</v>
      </c>
      <c r="J34" t="s">
        <v>84</v>
      </c>
      <c r="K34" t="s">
        <v>215</v>
      </c>
      <c r="L34">
        <v>66</v>
      </c>
      <c r="M34">
        <v>2771</v>
      </c>
    </row>
    <row r="35" spans="1:13" x14ac:dyDescent="0.35">
      <c r="A35" t="s">
        <v>182</v>
      </c>
      <c r="B35">
        <v>1</v>
      </c>
      <c r="C35" t="s">
        <v>129</v>
      </c>
      <c r="D35" t="s">
        <v>130</v>
      </c>
      <c r="E35" t="s">
        <v>215</v>
      </c>
      <c r="F35" t="s">
        <v>125</v>
      </c>
      <c r="G35" t="s">
        <v>124</v>
      </c>
      <c r="H35" t="s">
        <v>147</v>
      </c>
      <c r="I35" t="s">
        <v>146</v>
      </c>
      <c r="J35" t="s">
        <v>84</v>
      </c>
      <c r="K35" t="s">
        <v>215</v>
      </c>
      <c r="L35">
        <v>69</v>
      </c>
      <c r="M35">
        <v>2812</v>
      </c>
    </row>
    <row r="36" spans="1:13" x14ac:dyDescent="0.35">
      <c r="A36" t="s">
        <v>183</v>
      </c>
      <c r="B36">
        <v>1</v>
      </c>
      <c r="C36" t="s">
        <v>129</v>
      </c>
      <c r="D36" t="s">
        <v>130</v>
      </c>
      <c r="E36" t="s">
        <v>215</v>
      </c>
      <c r="F36" t="s">
        <v>125</v>
      </c>
      <c r="G36" t="s">
        <v>124</v>
      </c>
      <c r="H36" t="s">
        <v>147</v>
      </c>
      <c r="I36" t="s">
        <v>216</v>
      </c>
      <c r="J36" t="s">
        <v>84</v>
      </c>
      <c r="K36" t="s">
        <v>130</v>
      </c>
      <c r="L36">
        <v>78</v>
      </c>
      <c r="M36">
        <v>2798</v>
      </c>
    </row>
    <row r="37" spans="1:13" x14ac:dyDescent="0.35">
      <c r="A37" t="s">
        <v>184</v>
      </c>
      <c r="B37">
        <v>1</v>
      </c>
      <c r="C37" t="s">
        <v>129</v>
      </c>
      <c r="D37" t="s">
        <v>130</v>
      </c>
      <c r="E37" t="s">
        <v>215</v>
      </c>
      <c r="F37" t="s">
        <v>125</v>
      </c>
      <c r="G37" t="s">
        <v>124</v>
      </c>
      <c r="H37" t="s">
        <v>147</v>
      </c>
      <c r="I37" t="s">
        <v>146</v>
      </c>
      <c r="J37" t="s">
        <v>84</v>
      </c>
      <c r="K37" t="s">
        <v>125</v>
      </c>
      <c r="L37">
        <v>73</v>
      </c>
      <c r="M37">
        <v>2795</v>
      </c>
    </row>
    <row r="38" spans="1:13" x14ac:dyDescent="0.35">
      <c r="A38" t="s">
        <v>185</v>
      </c>
      <c r="B38">
        <v>1</v>
      </c>
      <c r="C38" t="s">
        <v>129</v>
      </c>
      <c r="D38" t="s">
        <v>130</v>
      </c>
      <c r="E38" t="s">
        <v>215</v>
      </c>
      <c r="F38" t="s">
        <v>125</v>
      </c>
      <c r="G38" t="s">
        <v>124</v>
      </c>
      <c r="H38" t="s">
        <v>147</v>
      </c>
      <c r="I38" t="s">
        <v>146</v>
      </c>
      <c r="J38" t="s">
        <v>84</v>
      </c>
      <c r="K38" t="s">
        <v>215</v>
      </c>
      <c r="L38">
        <v>62</v>
      </c>
      <c r="M38">
        <v>2764</v>
      </c>
    </row>
    <row r="39" spans="1:13" x14ac:dyDescent="0.35">
      <c r="A39" t="s">
        <v>186</v>
      </c>
      <c r="B39">
        <v>1</v>
      </c>
      <c r="C39" t="s">
        <v>129</v>
      </c>
      <c r="D39" t="s">
        <v>130</v>
      </c>
      <c r="E39" t="s">
        <v>215</v>
      </c>
      <c r="F39" t="s">
        <v>125</v>
      </c>
      <c r="G39" t="s">
        <v>123</v>
      </c>
      <c r="H39" t="s">
        <v>147</v>
      </c>
      <c r="I39" t="s">
        <v>146</v>
      </c>
      <c r="J39" t="s">
        <v>84</v>
      </c>
      <c r="K39" t="s">
        <v>129</v>
      </c>
      <c r="L39">
        <v>72</v>
      </c>
      <c r="M39">
        <v>2801</v>
      </c>
    </row>
    <row r="40" spans="1:13" x14ac:dyDescent="0.35">
      <c r="A40" t="s">
        <v>187</v>
      </c>
      <c r="B40">
        <v>1</v>
      </c>
      <c r="C40" t="s">
        <v>129</v>
      </c>
      <c r="D40" t="s">
        <v>130</v>
      </c>
      <c r="E40" t="s">
        <v>215</v>
      </c>
      <c r="F40" t="s">
        <v>125</v>
      </c>
      <c r="G40" t="s">
        <v>124</v>
      </c>
      <c r="H40" t="s">
        <v>147</v>
      </c>
      <c r="I40" t="s">
        <v>146</v>
      </c>
      <c r="J40" t="s">
        <v>84</v>
      </c>
      <c r="K40" t="s">
        <v>129</v>
      </c>
      <c r="L40">
        <v>75</v>
      </c>
      <c r="M40">
        <v>2873</v>
      </c>
    </row>
    <row r="41" spans="1:13" x14ac:dyDescent="0.35">
      <c r="A41" t="s">
        <v>188</v>
      </c>
      <c r="B41">
        <v>1</v>
      </c>
      <c r="C41" t="s">
        <v>129</v>
      </c>
      <c r="D41" t="s">
        <v>130</v>
      </c>
      <c r="E41" t="s">
        <v>215</v>
      </c>
      <c r="F41" t="s">
        <v>125</v>
      </c>
      <c r="G41" t="s">
        <v>124</v>
      </c>
      <c r="H41" t="s">
        <v>147</v>
      </c>
      <c r="I41" t="s">
        <v>146</v>
      </c>
      <c r="J41" t="s">
        <v>84</v>
      </c>
      <c r="K41" t="s">
        <v>215</v>
      </c>
      <c r="L41">
        <v>70</v>
      </c>
      <c r="M41">
        <v>2796</v>
      </c>
    </row>
    <row r="42" spans="1:13" x14ac:dyDescent="0.35">
      <c r="A42" t="s">
        <v>189</v>
      </c>
      <c r="B42">
        <v>1</v>
      </c>
      <c r="C42" t="s">
        <v>129</v>
      </c>
      <c r="D42" t="s">
        <v>130</v>
      </c>
      <c r="E42" t="s">
        <v>215</v>
      </c>
      <c r="F42" t="s">
        <v>125</v>
      </c>
      <c r="G42" t="s">
        <v>124</v>
      </c>
      <c r="H42" t="s">
        <v>147</v>
      </c>
      <c r="I42" t="s">
        <v>216</v>
      </c>
      <c r="J42" t="s">
        <v>84</v>
      </c>
      <c r="K42" t="s">
        <v>215</v>
      </c>
      <c r="L42">
        <v>87</v>
      </c>
      <c r="M42">
        <v>2826</v>
      </c>
    </row>
    <row r="43" spans="1:13" x14ac:dyDescent="0.35">
      <c r="A43" t="s">
        <v>190</v>
      </c>
      <c r="B43">
        <v>1</v>
      </c>
      <c r="C43" t="s">
        <v>129</v>
      </c>
      <c r="D43" t="s">
        <v>130</v>
      </c>
      <c r="E43" t="s">
        <v>215</v>
      </c>
      <c r="F43" t="s">
        <v>125</v>
      </c>
      <c r="G43" t="s">
        <v>124</v>
      </c>
      <c r="H43" t="s">
        <v>147</v>
      </c>
      <c r="I43" t="s">
        <v>146</v>
      </c>
      <c r="J43" t="s">
        <v>84</v>
      </c>
      <c r="K43" t="s">
        <v>129</v>
      </c>
      <c r="L43">
        <v>74</v>
      </c>
      <c r="M43">
        <v>2877</v>
      </c>
    </row>
    <row r="44" spans="1:13" x14ac:dyDescent="0.35">
      <c r="A44" t="s">
        <v>191</v>
      </c>
      <c r="B44">
        <v>1</v>
      </c>
      <c r="C44" t="s">
        <v>129</v>
      </c>
      <c r="D44" t="s">
        <v>130</v>
      </c>
      <c r="E44" t="s">
        <v>215</v>
      </c>
      <c r="F44" t="s">
        <v>125</v>
      </c>
      <c r="G44" t="s">
        <v>124</v>
      </c>
      <c r="H44" t="s">
        <v>147</v>
      </c>
      <c r="I44" t="s">
        <v>216</v>
      </c>
      <c r="J44" t="s">
        <v>84</v>
      </c>
      <c r="K44" t="s">
        <v>130</v>
      </c>
      <c r="L44">
        <v>82</v>
      </c>
      <c r="M44">
        <v>2818</v>
      </c>
    </row>
    <row r="45" spans="1:13" x14ac:dyDescent="0.35">
      <c r="A45" t="s">
        <v>192</v>
      </c>
      <c r="B45">
        <v>1</v>
      </c>
      <c r="C45" t="s">
        <v>129</v>
      </c>
      <c r="D45" t="s">
        <v>130</v>
      </c>
      <c r="E45" t="s">
        <v>215</v>
      </c>
      <c r="F45" t="s">
        <v>127</v>
      </c>
      <c r="G45" t="s">
        <v>123</v>
      </c>
      <c r="H45" t="s">
        <v>147</v>
      </c>
      <c r="I45" t="s">
        <v>146</v>
      </c>
      <c r="J45" t="s">
        <v>84</v>
      </c>
      <c r="K45" t="s">
        <v>146</v>
      </c>
      <c r="L45">
        <v>64</v>
      </c>
      <c r="M45">
        <v>2711</v>
      </c>
    </row>
    <row r="46" spans="1:13" x14ac:dyDescent="0.35">
      <c r="A46" t="s">
        <v>193</v>
      </c>
      <c r="B46">
        <v>1</v>
      </c>
      <c r="C46" t="s">
        <v>129</v>
      </c>
      <c r="D46" t="s">
        <v>130</v>
      </c>
      <c r="E46" t="s">
        <v>215</v>
      </c>
      <c r="F46" t="s">
        <v>125</v>
      </c>
      <c r="G46" t="s">
        <v>123</v>
      </c>
      <c r="H46" t="s">
        <v>147</v>
      </c>
      <c r="I46" t="s">
        <v>216</v>
      </c>
      <c r="J46" t="s">
        <v>84</v>
      </c>
      <c r="K46" t="s">
        <v>130</v>
      </c>
      <c r="L46">
        <v>70</v>
      </c>
      <c r="M46">
        <v>2719</v>
      </c>
    </row>
    <row r="47" spans="1:13" x14ac:dyDescent="0.35">
      <c r="A47" t="s">
        <v>194</v>
      </c>
      <c r="B47">
        <v>1</v>
      </c>
      <c r="C47" t="s">
        <v>129</v>
      </c>
      <c r="D47" t="s">
        <v>130</v>
      </c>
      <c r="E47" t="s">
        <v>215</v>
      </c>
      <c r="F47" t="s">
        <v>125</v>
      </c>
      <c r="G47" t="s">
        <v>124</v>
      </c>
      <c r="H47" t="s">
        <v>128</v>
      </c>
      <c r="I47" t="s">
        <v>216</v>
      </c>
      <c r="J47" t="s">
        <v>84</v>
      </c>
      <c r="K47" t="s">
        <v>125</v>
      </c>
      <c r="L47">
        <v>58</v>
      </c>
      <c r="M47">
        <v>2759</v>
      </c>
    </row>
    <row r="48" spans="1:13" x14ac:dyDescent="0.35">
      <c r="A48" t="s">
        <v>195</v>
      </c>
      <c r="B48">
        <v>1</v>
      </c>
      <c r="C48" t="s">
        <v>129</v>
      </c>
      <c r="D48" t="s">
        <v>130</v>
      </c>
      <c r="E48" t="s">
        <v>215</v>
      </c>
      <c r="F48" t="s">
        <v>125</v>
      </c>
      <c r="G48" t="s">
        <v>123</v>
      </c>
      <c r="H48" t="s">
        <v>147</v>
      </c>
      <c r="I48" t="s">
        <v>146</v>
      </c>
      <c r="J48" t="s">
        <v>84</v>
      </c>
      <c r="K48" t="s">
        <v>125</v>
      </c>
      <c r="L48">
        <v>68</v>
      </c>
      <c r="M48">
        <v>2699</v>
      </c>
    </row>
    <row r="49" spans="1:13" x14ac:dyDescent="0.35">
      <c r="A49" t="s">
        <v>144</v>
      </c>
      <c r="B49">
        <v>1</v>
      </c>
      <c r="C49" t="s">
        <v>129</v>
      </c>
      <c r="D49" t="s">
        <v>130</v>
      </c>
      <c r="E49" t="s">
        <v>215</v>
      </c>
      <c r="F49" t="s">
        <v>125</v>
      </c>
      <c r="G49" t="s">
        <v>124</v>
      </c>
      <c r="H49" t="s">
        <v>147</v>
      </c>
      <c r="I49" t="s">
        <v>216</v>
      </c>
      <c r="J49" t="s">
        <v>84</v>
      </c>
      <c r="K49" t="s">
        <v>129</v>
      </c>
      <c r="L49">
        <v>73</v>
      </c>
      <c r="M49">
        <v>2786</v>
      </c>
    </row>
    <row r="50" spans="1:13" x14ac:dyDescent="0.35">
      <c r="A50" t="s">
        <v>196</v>
      </c>
      <c r="B50">
        <v>1</v>
      </c>
      <c r="C50" t="s">
        <v>129</v>
      </c>
      <c r="D50" t="s">
        <v>130</v>
      </c>
      <c r="E50" t="s">
        <v>215</v>
      </c>
      <c r="F50" t="s">
        <v>125</v>
      </c>
      <c r="G50" t="s">
        <v>123</v>
      </c>
      <c r="H50" t="s">
        <v>147</v>
      </c>
      <c r="I50" t="s">
        <v>146</v>
      </c>
      <c r="J50" t="s">
        <v>84</v>
      </c>
      <c r="K50" t="s">
        <v>130</v>
      </c>
      <c r="L50">
        <v>72</v>
      </c>
      <c r="M50">
        <v>2781</v>
      </c>
    </row>
    <row r="51" spans="1:13" x14ac:dyDescent="0.35">
      <c r="A51" t="s">
        <v>197</v>
      </c>
      <c r="B51">
        <v>1</v>
      </c>
      <c r="C51" t="s">
        <v>129</v>
      </c>
      <c r="D51" t="s">
        <v>130</v>
      </c>
      <c r="E51" t="s">
        <v>215</v>
      </c>
      <c r="F51" t="s">
        <v>127</v>
      </c>
      <c r="G51" t="s">
        <v>124</v>
      </c>
      <c r="H51" t="s">
        <v>147</v>
      </c>
      <c r="I51" t="s">
        <v>146</v>
      </c>
      <c r="J51" t="s">
        <v>84</v>
      </c>
      <c r="K51" t="s">
        <v>147</v>
      </c>
      <c r="L51">
        <v>48</v>
      </c>
      <c r="M51">
        <v>2655</v>
      </c>
    </row>
    <row r="52" spans="1:13" x14ac:dyDescent="0.35">
      <c r="A52" t="s">
        <v>198</v>
      </c>
      <c r="B52">
        <v>1</v>
      </c>
      <c r="C52" t="s">
        <v>129</v>
      </c>
      <c r="D52" t="s">
        <v>130</v>
      </c>
      <c r="E52" t="s">
        <v>215</v>
      </c>
      <c r="F52" t="s">
        <v>125</v>
      </c>
      <c r="G52" t="s">
        <v>124</v>
      </c>
      <c r="H52" t="s">
        <v>147</v>
      </c>
      <c r="I52" t="s">
        <v>216</v>
      </c>
      <c r="J52" t="s">
        <v>84</v>
      </c>
      <c r="K52" t="s">
        <v>215</v>
      </c>
      <c r="L52">
        <v>74</v>
      </c>
      <c r="M52">
        <v>2751</v>
      </c>
    </row>
    <row r="53" spans="1:13" x14ac:dyDescent="0.35">
      <c r="A53" t="s">
        <v>199</v>
      </c>
      <c r="B53">
        <v>1</v>
      </c>
      <c r="C53" t="s">
        <v>129</v>
      </c>
      <c r="D53" t="s">
        <v>130</v>
      </c>
      <c r="E53" t="s">
        <v>215</v>
      </c>
      <c r="F53" t="s">
        <v>125</v>
      </c>
      <c r="G53" t="s">
        <v>124</v>
      </c>
      <c r="H53" t="s">
        <v>128</v>
      </c>
      <c r="I53" t="s">
        <v>216</v>
      </c>
      <c r="J53" t="s">
        <v>84</v>
      </c>
      <c r="K53" t="s">
        <v>215</v>
      </c>
      <c r="L53">
        <v>78</v>
      </c>
      <c r="M53">
        <v>2915</v>
      </c>
    </row>
    <row r="54" spans="1:13" x14ac:dyDescent="0.35">
      <c r="A54" t="s">
        <v>200</v>
      </c>
      <c r="B54">
        <v>1</v>
      </c>
      <c r="C54" t="s">
        <v>129</v>
      </c>
      <c r="D54" t="s">
        <v>121</v>
      </c>
      <c r="E54" t="s">
        <v>215</v>
      </c>
      <c r="F54" t="s">
        <v>125</v>
      </c>
      <c r="G54" t="s">
        <v>123</v>
      </c>
      <c r="H54" t="s">
        <v>147</v>
      </c>
      <c r="I54" t="s">
        <v>146</v>
      </c>
      <c r="J54" t="s">
        <v>84</v>
      </c>
      <c r="K54" t="s">
        <v>125</v>
      </c>
      <c r="L54">
        <v>53</v>
      </c>
      <c r="M54">
        <v>2628</v>
      </c>
    </row>
    <row r="55" spans="1:13" x14ac:dyDescent="0.35">
      <c r="A55" t="s">
        <v>201</v>
      </c>
      <c r="B55">
        <v>1</v>
      </c>
      <c r="C55" t="s">
        <v>129</v>
      </c>
      <c r="D55" t="s">
        <v>130</v>
      </c>
      <c r="E55" t="s">
        <v>215</v>
      </c>
      <c r="F55" t="s">
        <v>125</v>
      </c>
      <c r="G55" t="s">
        <v>124</v>
      </c>
      <c r="H55" t="s">
        <v>147</v>
      </c>
      <c r="I55" t="s">
        <v>216</v>
      </c>
      <c r="J55" t="s">
        <v>84</v>
      </c>
      <c r="K55" t="s">
        <v>215</v>
      </c>
      <c r="L55">
        <v>85</v>
      </c>
      <c r="M55">
        <v>2802</v>
      </c>
    </row>
    <row r="56" spans="1:13" x14ac:dyDescent="0.35">
      <c r="A56" t="s">
        <v>202</v>
      </c>
      <c r="B56">
        <v>1</v>
      </c>
      <c r="C56" t="s">
        <v>129</v>
      </c>
      <c r="D56" t="s">
        <v>130</v>
      </c>
      <c r="E56" t="s">
        <v>215</v>
      </c>
      <c r="F56" t="s">
        <v>125</v>
      </c>
      <c r="G56" t="s">
        <v>123</v>
      </c>
      <c r="H56" t="s">
        <v>147</v>
      </c>
      <c r="I56" t="s">
        <v>146</v>
      </c>
      <c r="J56" t="s">
        <v>84</v>
      </c>
      <c r="K56" t="s">
        <v>129</v>
      </c>
      <c r="L56">
        <v>60</v>
      </c>
      <c r="M56">
        <v>2488</v>
      </c>
    </row>
    <row r="57" spans="1:13" x14ac:dyDescent="0.35">
      <c r="A57" t="s">
        <v>235</v>
      </c>
      <c r="B57">
        <v>0</v>
      </c>
      <c r="C57" t="s">
        <v>84</v>
      </c>
      <c r="D57" t="s">
        <v>84</v>
      </c>
      <c r="E57" t="s">
        <v>84</v>
      </c>
      <c r="F57" t="s">
        <v>84</v>
      </c>
      <c r="G57" t="s">
        <v>84</v>
      </c>
      <c r="H57" t="s">
        <v>84</v>
      </c>
      <c r="I57" t="s">
        <v>84</v>
      </c>
      <c r="J57" t="s">
        <v>84</v>
      </c>
      <c r="K57" t="s">
        <v>84</v>
      </c>
      <c r="L57" t="s">
        <v>84</v>
      </c>
      <c r="M57" t="s">
        <v>84</v>
      </c>
    </row>
    <row r="58" spans="1:13" x14ac:dyDescent="0.35">
      <c r="A58" t="s">
        <v>235</v>
      </c>
      <c r="B58">
        <v>0</v>
      </c>
      <c r="C58" t="s">
        <v>84</v>
      </c>
      <c r="D58" t="s">
        <v>84</v>
      </c>
      <c r="E58" t="s">
        <v>84</v>
      </c>
      <c r="F58" t="s">
        <v>84</v>
      </c>
      <c r="G58" t="s">
        <v>84</v>
      </c>
      <c r="H58" t="s">
        <v>84</v>
      </c>
      <c r="I58" t="s">
        <v>84</v>
      </c>
      <c r="J58" t="s">
        <v>84</v>
      </c>
      <c r="K58" t="s">
        <v>84</v>
      </c>
      <c r="L58" t="s">
        <v>84</v>
      </c>
      <c r="M58" t="s">
        <v>84</v>
      </c>
    </row>
    <row r="59" spans="1:13" x14ac:dyDescent="0.35">
      <c r="A59" t="s">
        <v>235</v>
      </c>
      <c r="B59">
        <v>0</v>
      </c>
      <c r="C59" t="s">
        <v>84</v>
      </c>
      <c r="D59" t="s">
        <v>84</v>
      </c>
      <c r="E59" t="s">
        <v>84</v>
      </c>
      <c r="F59" t="s">
        <v>84</v>
      </c>
      <c r="G59" t="s">
        <v>84</v>
      </c>
      <c r="H59" t="s">
        <v>84</v>
      </c>
      <c r="I59" t="s">
        <v>84</v>
      </c>
      <c r="J59" t="s">
        <v>84</v>
      </c>
      <c r="K59" t="s">
        <v>84</v>
      </c>
      <c r="L59" t="s">
        <v>84</v>
      </c>
      <c r="M59" t="s">
        <v>84</v>
      </c>
    </row>
    <row r="60" spans="1:13" x14ac:dyDescent="0.35">
      <c r="A60" t="s">
        <v>235</v>
      </c>
      <c r="B60">
        <v>0</v>
      </c>
      <c r="C60" t="s">
        <v>84</v>
      </c>
      <c r="D60" t="s">
        <v>84</v>
      </c>
      <c r="E60" t="s">
        <v>84</v>
      </c>
      <c r="F60" t="s">
        <v>84</v>
      </c>
      <c r="G60" t="s">
        <v>84</v>
      </c>
      <c r="H60" t="s">
        <v>84</v>
      </c>
      <c r="I60" t="s">
        <v>84</v>
      </c>
      <c r="J60" t="s">
        <v>84</v>
      </c>
      <c r="K60" t="s">
        <v>84</v>
      </c>
      <c r="L60" t="s">
        <v>84</v>
      </c>
      <c r="M60" t="s">
        <v>84</v>
      </c>
    </row>
    <row r="61" spans="1:13" x14ac:dyDescent="0.35">
      <c r="A61" t="s">
        <v>235</v>
      </c>
      <c r="B61">
        <v>0</v>
      </c>
      <c r="C61" t="s">
        <v>84</v>
      </c>
      <c r="D61" t="s">
        <v>84</v>
      </c>
      <c r="E61" t="s">
        <v>84</v>
      </c>
      <c r="F61" t="s">
        <v>84</v>
      </c>
      <c r="G61" t="s">
        <v>84</v>
      </c>
      <c r="H61" t="s">
        <v>84</v>
      </c>
      <c r="I61" t="s">
        <v>84</v>
      </c>
      <c r="J61" t="s">
        <v>84</v>
      </c>
      <c r="K61" t="s">
        <v>84</v>
      </c>
      <c r="L61" t="s">
        <v>84</v>
      </c>
      <c r="M61" t="s">
        <v>84</v>
      </c>
    </row>
    <row r="62" spans="1:13" x14ac:dyDescent="0.35">
      <c r="A62" t="s">
        <v>235</v>
      </c>
      <c r="B62">
        <v>0</v>
      </c>
      <c r="C62" t="s">
        <v>84</v>
      </c>
      <c r="D62" t="s">
        <v>84</v>
      </c>
      <c r="E62" t="s">
        <v>84</v>
      </c>
      <c r="F62" t="s">
        <v>84</v>
      </c>
      <c r="G62" t="s">
        <v>84</v>
      </c>
      <c r="H62" t="s">
        <v>84</v>
      </c>
      <c r="I62" t="s">
        <v>84</v>
      </c>
      <c r="J62" t="s">
        <v>84</v>
      </c>
      <c r="K62" t="s">
        <v>84</v>
      </c>
      <c r="L62" t="s">
        <v>84</v>
      </c>
      <c r="M62" t="s">
        <v>84</v>
      </c>
    </row>
    <row r="63" spans="1:13" x14ac:dyDescent="0.35">
      <c r="A63" t="s">
        <v>235</v>
      </c>
      <c r="B63">
        <v>0</v>
      </c>
      <c r="C63" t="s">
        <v>84</v>
      </c>
      <c r="D63" t="s">
        <v>84</v>
      </c>
      <c r="E63" t="s">
        <v>84</v>
      </c>
      <c r="F63" t="s">
        <v>84</v>
      </c>
      <c r="G63" t="s">
        <v>84</v>
      </c>
      <c r="H63" t="s">
        <v>84</v>
      </c>
      <c r="I63" t="s">
        <v>84</v>
      </c>
      <c r="J63" t="s">
        <v>84</v>
      </c>
      <c r="K63" t="s">
        <v>84</v>
      </c>
      <c r="L63" t="s">
        <v>84</v>
      </c>
      <c r="M63" t="s">
        <v>84</v>
      </c>
    </row>
    <row r="64" spans="1:13" x14ac:dyDescent="0.35">
      <c r="A64" t="s">
        <v>235</v>
      </c>
      <c r="B64">
        <v>0</v>
      </c>
      <c r="C64" t="s">
        <v>84</v>
      </c>
      <c r="D64" t="s">
        <v>84</v>
      </c>
      <c r="E64" t="s">
        <v>84</v>
      </c>
      <c r="F64" t="s">
        <v>84</v>
      </c>
      <c r="G64" t="s">
        <v>84</v>
      </c>
      <c r="H64" t="s">
        <v>84</v>
      </c>
      <c r="I64" t="s">
        <v>84</v>
      </c>
      <c r="J64" t="s">
        <v>84</v>
      </c>
      <c r="K64" t="s">
        <v>84</v>
      </c>
      <c r="L64" t="s">
        <v>84</v>
      </c>
      <c r="M64" t="s">
        <v>84</v>
      </c>
    </row>
    <row r="65" spans="1:13" x14ac:dyDescent="0.35">
      <c r="A65" t="s">
        <v>235</v>
      </c>
      <c r="B65">
        <v>0</v>
      </c>
      <c r="C65" t="s">
        <v>84</v>
      </c>
      <c r="D65" t="s">
        <v>84</v>
      </c>
      <c r="E65" t="s">
        <v>84</v>
      </c>
      <c r="F65" t="s">
        <v>84</v>
      </c>
      <c r="G65" t="s">
        <v>84</v>
      </c>
      <c r="H65" t="s">
        <v>84</v>
      </c>
      <c r="I65" t="s">
        <v>84</v>
      </c>
      <c r="J65" t="s">
        <v>84</v>
      </c>
      <c r="K65" t="s">
        <v>84</v>
      </c>
      <c r="L65" t="s">
        <v>84</v>
      </c>
      <c r="M65" t="s">
        <v>84</v>
      </c>
    </row>
    <row r="66" spans="1:13" x14ac:dyDescent="0.35">
      <c r="A66" t="s">
        <v>235</v>
      </c>
      <c r="B66">
        <v>0</v>
      </c>
      <c r="C66" t="s">
        <v>84</v>
      </c>
      <c r="D66" t="s">
        <v>84</v>
      </c>
      <c r="E66" t="s">
        <v>84</v>
      </c>
      <c r="F66" t="s">
        <v>84</v>
      </c>
      <c r="G66" t="s">
        <v>84</v>
      </c>
      <c r="H66" t="s">
        <v>84</v>
      </c>
      <c r="I66" t="s">
        <v>84</v>
      </c>
      <c r="J66" t="s">
        <v>84</v>
      </c>
      <c r="K66" t="s">
        <v>84</v>
      </c>
      <c r="L66" t="s">
        <v>84</v>
      </c>
      <c r="M66" t="s">
        <v>84</v>
      </c>
    </row>
    <row r="67" spans="1:13" x14ac:dyDescent="0.35">
      <c r="A67" t="s">
        <v>235</v>
      </c>
      <c r="B67">
        <v>0</v>
      </c>
      <c r="C67" t="s">
        <v>84</v>
      </c>
      <c r="D67" t="s">
        <v>84</v>
      </c>
      <c r="E67" t="s">
        <v>84</v>
      </c>
      <c r="F67" t="s">
        <v>84</v>
      </c>
      <c r="G67" t="s">
        <v>84</v>
      </c>
      <c r="H67" t="s">
        <v>84</v>
      </c>
      <c r="I67" t="s">
        <v>84</v>
      </c>
      <c r="J67" t="s">
        <v>84</v>
      </c>
      <c r="K67" t="s">
        <v>84</v>
      </c>
      <c r="L67" t="s">
        <v>84</v>
      </c>
      <c r="M67" t="s">
        <v>84</v>
      </c>
    </row>
    <row r="68" spans="1:13" x14ac:dyDescent="0.35">
      <c r="A68" t="s">
        <v>235</v>
      </c>
      <c r="B68">
        <v>0</v>
      </c>
      <c r="C68" t="s">
        <v>84</v>
      </c>
      <c r="D68" t="s">
        <v>84</v>
      </c>
      <c r="E68" t="s">
        <v>84</v>
      </c>
      <c r="F68" t="s">
        <v>84</v>
      </c>
      <c r="G68" t="s">
        <v>84</v>
      </c>
      <c r="H68" t="s">
        <v>84</v>
      </c>
      <c r="I68" t="s">
        <v>84</v>
      </c>
      <c r="J68" t="s">
        <v>84</v>
      </c>
      <c r="K68" t="s">
        <v>84</v>
      </c>
      <c r="L68" t="s">
        <v>84</v>
      </c>
      <c r="M68" t="s">
        <v>84</v>
      </c>
    </row>
    <row r="69" spans="1:13" x14ac:dyDescent="0.35">
      <c r="A69" t="s">
        <v>235</v>
      </c>
      <c r="B69">
        <v>0</v>
      </c>
      <c r="C69" t="s">
        <v>84</v>
      </c>
      <c r="D69" t="s">
        <v>84</v>
      </c>
      <c r="E69" t="s">
        <v>84</v>
      </c>
      <c r="F69" t="s">
        <v>84</v>
      </c>
      <c r="G69" t="s">
        <v>84</v>
      </c>
      <c r="H69" t="s">
        <v>84</v>
      </c>
      <c r="I69" t="s">
        <v>84</v>
      </c>
      <c r="J69" t="s">
        <v>84</v>
      </c>
      <c r="K69" t="s">
        <v>84</v>
      </c>
      <c r="L69" t="s">
        <v>84</v>
      </c>
      <c r="M69" t="s">
        <v>84</v>
      </c>
    </row>
    <row r="70" spans="1:13" x14ac:dyDescent="0.35">
      <c r="A70" t="s">
        <v>235</v>
      </c>
      <c r="B70">
        <v>0</v>
      </c>
      <c r="C70" t="s">
        <v>84</v>
      </c>
      <c r="D70" t="s">
        <v>84</v>
      </c>
      <c r="E70" t="s">
        <v>84</v>
      </c>
      <c r="F70" t="s">
        <v>84</v>
      </c>
      <c r="G70" t="s">
        <v>84</v>
      </c>
      <c r="H70" t="s">
        <v>84</v>
      </c>
      <c r="I70" t="s">
        <v>84</v>
      </c>
      <c r="J70" t="s">
        <v>84</v>
      </c>
      <c r="K70" t="s">
        <v>84</v>
      </c>
      <c r="L70" t="s">
        <v>84</v>
      </c>
      <c r="M70" t="s">
        <v>84</v>
      </c>
    </row>
    <row r="71" spans="1:13" x14ac:dyDescent="0.35">
      <c r="A71" t="s">
        <v>235</v>
      </c>
      <c r="B71">
        <v>0</v>
      </c>
      <c r="C71" t="s">
        <v>84</v>
      </c>
      <c r="D71" t="s">
        <v>84</v>
      </c>
      <c r="E71" t="s">
        <v>84</v>
      </c>
      <c r="F71" t="s">
        <v>84</v>
      </c>
      <c r="G71" t="s">
        <v>84</v>
      </c>
      <c r="H71" t="s">
        <v>84</v>
      </c>
      <c r="I71" t="s">
        <v>84</v>
      </c>
      <c r="J71" t="s">
        <v>84</v>
      </c>
      <c r="K71" t="s">
        <v>84</v>
      </c>
      <c r="L71" t="s">
        <v>84</v>
      </c>
      <c r="M71" t="s">
        <v>84</v>
      </c>
    </row>
    <row r="72" spans="1:13" x14ac:dyDescent="0.35">
      <c r="A72" t="s">
        <v>235</v>
      </c>
      <c r="B72">
        <v>0</v>
      </c>
      <c r="C72" t="s">
        <v>84</v>
      </c>
      <c r="D72" t="s">
        <v>84</v>
      </c>
      <c r="E72" t="s">
        <v>84</v>
      </c>
      <c r="F72" t="s">
        <v>84</v>
      </c>
      <c r="G72" t="s">
        <v>84</v>
      </c>
      <c r="H72" t="s">
        <v>84</v>
      </c>
      <c r="I72" t="s">
        <v>84</v>
      </c>
      <c r="J72" t="s">
        <v>84</v>
      </c>
      <c r="K72" t="s">
        <v>84</v>
      </c>
      <c r="L72" t="s">
        <v>84</v>
      </c>
      <c r="M72" t="s">
        <v>84</v>
      </c>
    </row>
    <row r="73" spans="1:13" x14ac:dyDescent="0.35">
      <c r="A73" t="s">
        <v>235</v>
      </c>
      <c r="B73">
        <v>0</v>
      </c>
      <c r="C73" t="s">
        <v>84</v>
      </c>
      <c r="D73" t="s">
        <v>84</v>
      </c>
      <c r="E73" t="s">
        <v>84</v>
      </c>
      <c r="F73" t="s">
        <v>84</v>
      </c>
      <c r="G73" t="s">
        <v>84</v>
      </c>
      <c r="H73" t="s">
        <v>84</v>
      </c>
      <c r="I73" t="s">
        <v>84</v>
      </c>
      <c r="J73" t="s">
        <v>84</v>
      </c>
      <c r="K73" t="s">
        <v>84</v>
      </c>
      <c r="L73" t="s">
        <v>84</v>
      </c>
      <c r="M73" t="s">
        <v>84</v>
      </c>
    </row>
    <row r="74" spans="1:13" x14ac:dyDescent="0.35">
      <c r="A74" t="s">
        <v>235</v>
      </c>
      <c r="B74">
        <v>0</v>
      </c>
      <c r="C74" t="s">
        <v>84</v>
      </c>
      <c r="D74" t="s">
        <v>84</v>
      </c>
      <c r="E74" t="s">
        <v>84</v>
      </c>
      <c r="F74" t="s">
        <v>84</v>
      </c>
      <c r="G74" t="s">
        <v>84</v>
      </c>
      <c r="H74" t="s">
        <v>84</v>
      </c>
      <c r="I74" t="s">
        <v>84</v>
      </c>
      <c r="J74" t="s">
        <v>84</v>
      </c>
      <c r="K74" t="s">
        <v>84</v>
      </c>
      <c r="L74" t="s">
        <v>84</v>
      </c>
      <c r="M74" t="s">
        <v>84</v>
      </c>
    </row>
    <row r="75" spans="1:13" x14ac:dyDescent="0.35">
      <c r="A75" t="s">
        <v>235</v>
      </c>
      <c r="B75">
        <v>0</v>
      </c>
      <c r="C75" t="s">
        <v>84</v>
      </c>
      <c r="D75" t="s">
        <v>84</v>
      </c>
      <c r="E75" t="s">
        <v>84</v>
      </c>
      <c r="F75" t="s">
        <v>84</v>
      </c>
      <c r="G75" t="s">
        <v>84</v>
      </c>
      <c r="H75" t="s">
        <v>84</v>
      </c>
      <c r="I75" t="s">
        <v>84</v>
      </c>
      <c r="J75" t="s">
        <v>84</v>
      </c>
      <c r="K75" t="s">
        <v>84</v>
      </c>
      <c r="L75" t="s">
        <v>84</v>
      </c>
      <c r="M75" t="s">
        <v>84</v>
      </c>
    </row>
    <row r="76" spans="1:13" x14ac:dyDescent="0.35">
      <c r="A76" t="s">
        <v>235</v>
      </c>
      <c r="B76">
        <v>0</v>
      </c>
      <c r="C76" t="s">
        <v>84</v>
      </c>
      <c r="D76" t="s">
        <v>84</v>
      </c>
      <c r="E76" t="s">
        <v>84</v>
      </c>
      <c r="F76" t="s">
        <v>84</v>
      </c>
      <c r="G76" t="s">
        <v>84</v>
      </c>
      <c r="H76" t="s">
        <v>84</v>
      </c>
      <c r="I76" t="s">
        <v>84</v>
      </c>
      <c r="J76" t="s">
        <v>84</v>
      </c>
      <c r="K76" t="s">
        <v>84</v>
      </c>
      <c r="L76" t="s">
        <v>84</v>
      </c>
      <c r="M76" t="s">
        <v>84</v>
      </c>
    </row>
    <row r="77" spans="1:13" x14ac:dyDescent="0.35">
      <c r="A77" t="s">
        <v>235</v>
      </c>
      <c r="B77">
        <v>0</v>
      </c>
      <c r="C77" t="s">
        <v>84</v>
      </c>
      <c r="D77" t="s">
        <v>84</v>
      </c>
      <c r="E77" t="s">
        <v>84</v>
      </c>
      <c r="F77" t="s">
        <v>84</v>
      </c>
      <c r="G77" t="s">
        <v>84</v>
      </c>
      <c r="H77" t="s">
        <v>84</v>
      </c>
      <c r="I77" t="s">
        <v>84</v>
      </c>
      <c r="J77" t="s">
        <v>84</v>
      </c>
      <c r="K77" t="s">
        <v>84</v>
      </c>
      <c r="L77" t="s">
        <v>84</v>
      </c>
      <c r="M77" t="s">
        <v>84</v>
      </c>
    </row>
    <row r="78" spans="1:13" x14ac:dyDescent="0.35">
      <c r="A78" t="s">
        <v>235</v>
      </c>
      <c r="B78">
        <v>0</v>
      </c>
      <c r="C78" t="s">
        <v>84</v>
      </c>
      <c r="D78" t="s">
        <v>84</v>
      </c>
      <c r="E78" t="s">
        <v>84</v>
      </c>
      <c r="F78" t="s">
        <v>84</v>
      </c>
      <c r="G78" t="s">
        <v>84</v>
      </c>
      <c r="H78" t="s">
        <v>84</v>
      </c>
      <c r="I78" t="s">
        <v>84</v>
      </c>
      <c r="J78" t="s">
        <v>84</v>
      </c>
      <c r="K78" t="s">
        <v>84</v>
      </c>
      <c r="L78" t="s">
        <v>84</v>
      </c>
      <c r="M78" t="s">
        <v>84</v>
      </c>
    </row>
    <row r="79" spans="1:13" x14ac:dyDescent="0.35">
      <c r="A79" t="s">
        <v>235</v>
      </c>
      <c r="B79">
        <v>0</v>
      </c>
      <c r="C79" t="s">
        <v>84</v>
      </c>
      <c r="D79" t="s">
        <v>84</v>
      </c>
      <c r="E79" t="s">
        <v>84</v>
      </c>
      <c r="F79" t="s">
        <v>84</v>
      </c>
      <c r="G79" t="s">
        <v>84</v>
      </c>
      <c r="H79" t="s">
        <v>84</v>
      </c>
      <c r="I79" t="s">
        <v>84</v>
      </c>
      <c r="J79" t="s">
        <v>84</v>
      </c>
      <c r="K79" t="s">
        <v>84</v>
      </c>
      <c r="L79" t="s">
        <v>84</v>
      </c>
      <c r="M79" t="s">
        <v>84</v>
      </c>
    </row>
    <row r="80" spans="1:13" x14ac:dyDescent="0.35">
      <c r="A80" t="s">
        <v>235</v>
      </c>
      <c r="B80">
        <v>0</v>
      </c>
      <c r="C80" t="s">
        <v>84</v>
      </c>
      <c r="D80" t="s">
        <v>84</v>
      </c>
      <c r="E80" t="s">
        <v>84</v>
      </c>
      <c r="F80" t="s">
        <v>84</v>
      </c>
      <c r="G80" t="s">
        <v>84</v>
      </c>
      <c r="H80" t="s">
        <v>84</v>
      </c>
      <c r="I80" t="s">
        <v>84</v>
      </c>
      <c r="J80" t="s">
        <v>84</v>
      </c>
      <c r="K80" t="s">
        <v>84</v>
      </c>
      <c r="L80" t="s">
        <v>84</v>
      </c>
      <c r="M80" t="s">
        <v>84</v>
      </c>
    </row>
    <row r="81" spans="1:13" x14ac:dyDescent="0.35">
      <c r="A81" t="s">
        <v>235</v>
      </c>
      <c r="B81">
        <v>0</v>
      </c>
      <c r="C81" t="s">
        <v>84</v>
      </c>
      <c r="D81" t="s">
        <v>84</v>
      </c>
      <c r="E81" t="s">
        <v>84</v>
      </c>
      <c r="F81" t="s">
        <v>84</v>
      </c>
      <c r="G81" t="s">
        <v>84</v>
      </c>
      <c r="H81" t="s">
        <v>84</v>
      </c>
      <c r="I81" t="s">
        <v>84</v>
      </c>
      <c r="J81" t="s">
        <v>84</v>
      </c>
      <c r="K81" t="s">
        <v>84</v>
      </c>
      <c r="L81" t="s">
        <v>84</v>
      </c>
      <c r="M81" t="s">
        <v>84</v>
      </c>
    </row>
    <row r="82" spans="1:13" x14ac:dyDescent="0.35">
      <c r="A82" t="s">
        <v>235</v>
      </c>
      <c r="B82">
        <v>0</v>
      </c>
      <c r="C82" t="s">
        <v>84</v>
      </c>
      <c r="D82" t="s">
        <v>84</v>
      </c>
      <c r="E82" t="s">
        <v>84</v>
      </c>
      <c r="F82" t="s">
        <v>84</v>
      </c>
      <c r="G82" t="s">
        <v>84</v>
      </c>
      <c r="H82" t="s">
        <v>84</v>
      </c>
      <c r="I82" t="s">
        <v>84</v>
      </c>
      <c r="J82" t="s">
        <v>84</v>
      </c>
      <c r="K82" t="s">
        <v>84</v>
      </c>
      <c r="L82" t="s">
        <v>84</v>
      </c>
      <c r="M82" t="s">
        <v>84</v>
      </c>
    </row>
    <row r="83" spans="1:13" x14ac:dyDescent="0.35">
      <c r="A83" t="s">
        <v>235</v>
      </c>
      <c r="B83">
        <v>0</v>
      </c>
      <c r="C83" t="s">
        <v>84</v>
      </c>
      <c r="D83" t="s">
        <v>84</v>
      </c>
      <c r="E83" t="s">
        <v>84</v>
      </c>
      <c r="F83" t="s">
        <v>84</v>
      </c>
      <c r="G83" t="s">
        <v>84</v>
      </c>
      <c r="H83" t="s">
        <v>84</v>
      </c>
      <c r="I83" t="s">
        <v>84</v>
      </c>
      <c r="J83" t="s">
        <v>84</v>
      </c>
      <c r="K83" t="s">
        <v>84</v>
      </c>
      <c r="L83" t="s">
        <v>84</v>
      </c>
      <c r="M83" t="s">
        <v>84</v>
      </c>
    </row>
    <row r="84" spans="1:13" x14ac:dyDescent="0.35">
      <c r="A84" t="s">
        <v>235</v>
      </c>
      <c r="B84">
        <v>0</v>
      </c>
      <c r="C84" t="s">
        <v>84</v>
      </c>
      <c r="D84" t="s">
        <v>84</v>
      </c>
      <c r="E84" t="s">
        <v>84</v>
      </c>
      <c r="F84" t="s">
        <v>84</v>
      </c>
      <c r="G84" t="s">
        <v>84</v>
      </c>
      <c r="H84" t="s">
        <v>84</v>
      </c>
      <c r="I84" t="s">
        <v>84</v>
      </c>
      <c r="J84" t="s">
        <v>84</v>
      </c>
      <c r="K84" t="s">
        <v>84</v>
      </c>
      <c r="L84" t="s">
        <v>84</v>
      </c>
      <c r="M84" t="s">
        <v>84</v>
      </c>
    </row>
    <row r="85" spans="1:13" x14ac:dyDescent="0.35">
      <c r="A85" t="s">
        <v>235</v>
      </c>
      <c r="B85">
        <v>0</v>
      </c>
      <c r="C85" t="s">
        <v>84</v>
      </c>
      <c r="D85" t="s">
        <v>84</v>
      </c>
      <c r="E85" t="s">
        <v>84</v>
      </c>
      <c r="F85" t="s">
        <v>84</v>
      </c>
      <c r="G85" t="s">
        <v>84</v>
      </c>
      <c r="H85" t="s">
        <v>84</v>
      </c>
      <c r="I85" t="s">
        <v>84</v>
      </c>
      <c r="J85" t="s">
        <v>84</v>
      </c>
      <c r="K85" t="s">
        <v>84</v>
      </c>
      <c r="L85" t="s">
        <v>84</v>
      </c>
      <c r="M85" t="s">
        <v>84</v>
      </c>
    </row>
    <row r="86" spans="1:13" x14ac:dyDescent="0.35">
      <c r="A86" t="s">
        <v>235</v>
      </c>
      <c r="B86">
        <v>0</v>
      </c>
      <c r="C86" t="s">
        <v>84</v>
      </c>
      <c r="D86" t="s">
        <v>84</v>
      </c>
      <c r="E86" t="s">
        <v>84</v>
      </c>
      <c r="F86" t="s">
        <v>84</v>
      </c>
      <c r="G86" t="s">
        <v>84</v>
      </c>
      <c r="H86" t="s">
        <v>84</v>
      </c>
      <c r="I86" t="s">
        <v>84</v>
      </c>
      <c r="J86" t="s">
        <v>84</v>
      </c>
      <c r="K86" t="s">
        <v>84</v>
      </c>
      <c r="L86" t="s">
        <v>84</v>
      </c>
      <c r="M86" t="s">
        <v>84</v>
      </c>
    </row>
    <row r="87" spans="1:13" x14ac:dyDescent="0.35">
      <c r="A87" t="s">
        <v>235</v>
      </c>
      <c r="B87">
        <v>0</v>
      </c>
      <c r="C87" t="s">
        <v>84</v>
      </c>
      <c r="D87" t="s">
        <v>84</v>
      </c>
      <c r="E87" t="s">
        <v>84</v>
      </c>
      <c r="F87" t="s">
        <v>84</v>
      </c>
      <c r="G87" t="s">
        <v>84</v>
      </c>
      <c r="H87" t="s">
        <v>84</v>
      </c>
      <c r="I87" t="s">
        <v>84</v>
      </c>
      <c r="J87" t="s">
        <v>84</v>
      </c>
      <c r="K87" t="s">
        <v>84</v>
      </c>
      <c r="L87" t="s">
        <v>84</v>
      </c>
      <c r="M87" t="s">
        <v>84</v>
      </c>
    </row>
    <row r="88" spans="1:13" x14ac:dyDescent="0.35">
      <c r="A88" t="s">
        <v>235</v>
      </c>
      <c r="B88">
        <v>0</v>
      </c>
      <c r="C88" t="s">
        <v>84</v>
      </c>
      <c r="D88" t="s">
        <v>84</v>
      </c>
      <c r="E88" t="s">
        <v>84</v>
      </c>
      <c r="F88" t="s">
        <v>84</v>
      </c>
      <c r="G88" t="s">
        <v>84</v>
      </c>
      <c r="H88" t="s">
        <v>84</v>
      </c>
      <c r="I88" t="s">
        <v>84</v>
      </c>
      <c r="J88" t="s">
        <v>84</v>
      </c>
      <c r="K88" t="s">
        <v>84</v>
      </c>
      <c r="L88" t="s">
        <v>84</v>
      </c>
      <c r="M88" t="s">
        <v>84</v>
      </c>
    </row>
    <row r="89" spans="1:13" x14ac:dyDescent="0.35">
      <c r="A89" t="s">
        <v>235</v>
      </c>
      <c r="B89">
        <v>0</v>
      </c>
      <c r="C89" t="s">
        <v>84</v>
      </c>
      <c r="D89" t="s">
        <v>84</v>
      </c>
      <c r="E89" t="s">
        <v>84</v>
      </c>
      <c r="F89" t="s">
        <v>84</v>
      </c>
      <c r="G89" t="s">
        <v>84</v>
      </c>
      <c r="H89" t="s">
        <v>84</v>
      </c>
      <c r="I89" t="s">
        <v>84</v>
      </c>
      <c r="J89" t="s">
        <v>84</v>
      </c>
      <c r="K89" t="s">
        <v>84</v>
      </c>
      <c r="L89" t="s">
        <v>84</v>
      </c>
      <c r="M89" t="s">
        <v>84</v>
      </c>
    </row>
    <row r="90" spans="1:13" x14ac:dyDescent="0.35">
      <c r="A90" t="s">
        <v>235</v>
      </c>
      <c r="B90">
        <v>0</v>
      </c>
      <c r="C90" t="s">
        <v>84</v>
      </c>
      <c r="D90" t="s">
        <v>84</v>
      </c>
      <c r="E90" t="s">
        <v>84</v>
      </c>
      <c r="F90" t="s">
        <v>84</v>
      </c>
      <c r="G90" t="s">
        <v>84</v>
      </c>
      <c r="H90" t="s">
        <v>84</v>
      </c>
      <c r="I90" t="s">
        <v>84</v>
      </c>
      <c r="J90" t="s">
        <v>84</v>
      </c>
      <c r="K90" t="s">
        <v>84</v>
      </c>
      <c r="L90" t="s">
        <v>84</v>
      </c>
      <c r="M90" t="s">
        <v>84</v>
      </c>
    </row>
    <row r="91" spans="1:13" x14ac:dyDescent="0.35">
      <c r="A91" t="s">
        <v>235</v>
      </c>
      <c r="B91">
        <v>0</v>
      </c>
      <c r="C91" t="s">
        <v>84</v>
      </c>
      <c r="D91" t="s">
        <v>84</v>
      </c>
      <c r="E91" t="s">
        <v>84</v>
      </c>
      <c r="F91" t="s">
        <v>84</v>
      </c>
      <c r="G91" t="s">
        <v>84</v>
      </c>
      <c r="H91" t="s">
        <v>84</v>
      </c>
      <c r="I91" t="s">
        <v>84</v>
      </c>
      <c r="J91" t="s">
        <v>84</v>
      </c>
      <c r="K91" t="s">
        <v>84</v>
      </c>
      <c r="L91" t="s">
        <v>84</v>
      </c>
      <c r="M91" t="s">
        <v>84</v>
      </c>
    </row>
    <row r="92" spans="1:13" x14ac:dyDescent="0.35">
      <c r="A92" t="s">
        <v>235</v>
      </c>
      <c r="B92">
        <v>0</v>
      </c>
      <c r="C92" t="s">
        <v>84</v>
      </c>
      <c r="D92" t="s">
        <v>84</v>
      </c>
      <c r="E92" t="s">
        <v>84</v>
      </c>
      <c r="F92" t="s">
        <v>84</v>
      </c>
      <c r="G92" t="s">
        <v>84</v>
      </c>
      <c r="H92" t="s">
        <v>84</v>
      </c>
      <c r="I92" t="s">
        <v>84</v>
      </c>
      <c r="J92" t="s">
        <v>84</v>
      </c>
      <c r="K92" t="s">
        <v>84</v>
      </c>
      <c r="L92" t="s">
        <v>84</v>
      </c>
      <c r="M92" t="s">
        <v>84</v>
      </c>
    </row>
    <row r="93" spans="1:13" x14ac:dyDescent="0.35">
      <c r="A93" t="s">
        <v>235</v>
      </c>
      <c r="B93">
        <v>0</v>
      </c>
      <c r="C93" t="s">
        <v>84</v>
      </c>
      <c r="D93" t="s">
        <v>84</v>
      </c>
      <c r="E93" t="s">
        <v>84</v>
      </c>
      <c r="F93" t="s">
        <v>84</v>
      </c>
      <c r="G93" t="s">
        <v>84</v>
      </c>
      <c r="H93" t="s">
        <v>84</v>
      </c>
      <c r="I93" t="s">
        <v>84</v>
      </c>
      <c r="J93" t="s">
        <v>84</v>
      </c>
      <c r="K93" t="s">
        <v>84</v>
      </c>
      <c r="L93" t="s">
        <v>84</v>
      </c>
      <c r="M93" t="s">
        <v>84</v>
      </c>
    </row>
    <row r="94" spans="1:13" x14ac:dyDescent="0.35">
      <c r="A94" t="s">
        <v>235</v>
      </c>
      <c r="B94">
        <v>0</v>
      </c>
      <c r="C94" t="s">
        <v>84</v>
      </c>
      <c r="D94" t="s">
        <v>84</v>
      </c>
      <c r="E94" t="s">
        <v>84</v>
      </c>
      <c r="F94" t="s">
        <v>84</v>
      </c>
      <c r="G94" t="s">
        <v>84</v>
      </c>
      <c r="H94" t="s">
        <v>84</v>
      </c>
      <c r="I94" t="s">
        <v>84</v>
      </c>
      <c r="J94" t="s">
        <v>84</v>
      </c>
      <c r="K94" t="s">
        <v>84</v>
      </c>
      <c r="L94" t="s">
        <v>84</v>
      </c>
      <c r="M94" t="s">
        <v>84</v>
      </c>
    </row>
    <row r="95" spans="1:13" x14ac:dyDescent="0.35">
      <c r="A95" t="s">
        <v>235</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129</v>
      </c>
      <c r="D96" t="s">
        <v>130</v>
      </c>
      <c r="E96" t="s">
        <v>215</v>
      </c>
      <c r="F96" t="s">
        <v>125</v>
      </c>
      <c r="G96" t="s">
        <v>124</v>
      </c>
      <c r="H96" t="s">
        <v>147</v>
      </c>
      <c r="I96" t="s">
        <v>146</v>
      </c>
      <c r="J96" t="s">
        <v>84</v>
      </c>
      <c r="K96" t="s">
        <v>129</v>
      </c>
      <c r="L96">
        <v>57</v>
      </c>
      <c r="M96">
        <v>2637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B23" sqref="B23:B25"/>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2025-06-21T01:04:25Z</dcterms:modified>
</cp:coreProperties>
</file>