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xl/tables/table1.xml" ContentType="application/vnd.openxmlformats-officedocument.spreadsheetml.table+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codeName="ThisWorkbook" defaultThemeVersion="124226"/>
  <mc:AlternateContent xmlns:mc="http://schemas.openxmlformats.org/markup-compatibility/2006">
    <mc:Choice Requires="x15">
      <x15ac:absPath xmlns:x15ac="http://schemas.microsoft.com/office/spreadsheetml/2010/11/ac" url="C:\Users\Rob\Desktop\FT2025\Stats Live Ladder\"/>
    </mc:Choice>
  </mc:AlternateContent>
  <xr:revisionPtr revIDLastSave="0" documentId="8_{5199C85C-B5B0-4B86-8B59-7B95976E3795}" xr6:coauthVersionLast="47" xr6:coauthVersionMax="47" xr10:uidLastSave="{00000000-0000-0000-0000-000000000000}"/>
  <bookViews>
    <workbookView xWindow="28680" yWindow="-120" windowWidth="24240" windowHeight="17640" xr2:uid="{00000000-000D-0000-FFFF-FFFF00000000}"/>
  </bookViews>
  <sheets>
    <sheet name="Stats Calculator" sheetId="17" r:id="rId1"/>
    <sheet name="Code Table" sheetId="21" state="hidden" r:id="rId2"/>
    <sheet name="Live Ladder" sheetId="15" r:id="rId3"/>
    <sheet name="Engine" sheetId="1" state="hidden" r:id="rId4"/>
    <sheet name="All Tipsters" sheetId="20" r:id="rId5"/>
    <sheet name="Data" sheetId="14" state="hidden" r:id="rId6"/>
    <sheet name="Logos" sheetId="18" state="hidden" r:id="rId7"/>
    <sheet name="Sheet1" sheetId="19" state="hidden" r:id="rId8"/>
  </sheets>
  <externalReferences>
    <externalReference r:id="rId9"/>
    <externalReference r:id="rId10"/>
  </externalReferences>
  <definedNames>
    <definedName name="_Bye1">#REF!</definedName>
    <definedName name="_Bye2">#REF!</definedName>
    <definedName name="_Bye3">#REF!</definedName>
    <definedName name="_Bye4">#REF!</definedName>
    <definedName name="_xlnm._FilterDatabase" localSheetId="4" hidden="1">'All Tipsters'!$B$4:$K$4</definedName>
    <definedName name="_xlnm._FilterDatabase" localSheetId="5" hidden="1">Data!$A$2:$Z$80</definedName>
    <definedName name="_xlnm._FilterDatabase" localSheetId="3" hidden="1">Engine!$B$1:$AD$95</definedName>
    <definedName name="_xlnm._FilterDatabase" localSheetId="7" hidden="1">Sheet1!$A$2:$S$14</definedName>
    <definedName name="IconPaste" localSheetId="6">Logos!#REF!</definedName>
    <definedName name="IconPaste" localSheetId="0">'Stats Calculator'!$G$8</definedName>
    <definedName name="IconPaste">#REF!</definedName>
    <definedName name="LeaderBoard">'[1]The Ladder - new'!$AC$18:$AC$32</definedName>
    <definedName name="_xlnm.Print_Area" localSheetId="6">Logos!#REF!</definedName>
    <definedName name="_xlnm.Print_Area" localSheetId="0">'Stats Calculator'!$B$1:$R$59</definedName>
    <definedName name="Rounds">'[2]Draw and Results'!$A$32:$A$57</definedName>
    <definedName name="Source1">#REF!</definedName>
    <definedName name="Source2">#REF!</definedName>
    <definedName name="Target">#REF!</definedName>
    <definedName name="Target1">#REF!</definedName>
    <definedName name="Target2">#REF!</definedName>
    <definedName name="Target3">#REF!</definedName>
    <definedName name="Target4">#REF!</definedName>
    <definedName name="Target5">#REF!</definedName>
    <definedName name="Target6">#REF!</definedName>
    <definedName name="Target7">#REF!</definedName>
    <definedName name="Target8">#REF!</definedName>
    <definedName name="Teams" localSheetId="6">Logos!#REF!</definedName>
    <definedName name="Teams" localSheetId="0">'Stats Calculator'!$T$24</definedName>
    <definedName name="Teams">#REF!</definedName>
    <definedName name="Tippers">[2]Data!$AN$4:$AN$75</definedName>
    <definedName name="Tipster">[2]Data!$AN$4:$AN$75</definedName>
    <definedName name="TipsterList">[2]Data!$AN$4:$AN$75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24" i="17" l="1"/>
  <c r="P13" i="15"/>
  <c r="Q13" i="15"/>
  <c r="C3" i="21"/>
  <c r="C4" i="21"/>
  <c r="C5" i="21"/>
  <c r="C6" i="21"/>
  <c r="C7" i="21"/>
  <c r="C8" i="21"/>
  <c r="C9" i="21"/>
  <c r="C10" i="21"/>
  <c r="C11" i="21"/>
  <c r="C12" i="21"/>
  <c r="C13" i="21"/>
  <c r="C14" i="21"/>
  <c r="C15" i="21"/>
  <c r="C16" i="21"/>
  <c r="C17" i="21"/>
  <c r="C18" i="21"/>
  <c r="C19" i="21"/>
  <c r="C20" i="21"/>
  <c r="C21" i="21"/>
  <c r="C22" i="21"/>
  <c r="C23" i="21"/>
  <c r="C24" i="21"/>
  <c r="C25" i="21"/>
  <c r="C26" i="21"/>
  <c r="C27" i="21"/>
  <c r="C28" i="21"/>
  <c r="C29" i="21"/>
  <c r="C30" i="21"/>
  <c r="C31" i="21"/>
  <c r="C32" i="21"/>
  <c r="C33" i="21"/>
  <c r="C34" i="21"/>
  <c r="C35" i="21"/>
  <c r="C36" i="21"/>
  <c r="C37" i="21"/>
  <c r="C38" i="21"/>
  <c r="C39" i="21"/>
  <c r="C40" i="21"/>
  <c r="C41" i="21"/>
  <c r="C42" i="21"/>
  <c r="C43" i="21"/>
  <c r="C44" i="21"/>
  <c r="C45" i="21"/>
  <c r="C46" i="21"/>
  <c r="C47" i="21"/>
  <c r="C48" i="21"/>
  <c r="C49" i="21"/>
  <c r="C50" i="21"/>
  <c r="C51" i="21"/>
  <c r="C52" i="21"/>
  <c r="C53" i="21"/>
  <c r="C54" i="21"/>
  <c r="C55" i="21"/>
  <c r="C56" i="21"/>
  <c r="C57" i="21"/>
  <c r="C58" i="21"/>
  <c r="C59" i="21"/>
  <c r="C60" i="21"/>
  <c r="C61" i="21"/>
  <c r="C62" i="21"/>
  <c r="C63" i="21"/>
  <c r="C64" i="21"/>
  <c r="C65" i="21"/>
  <c r="C66" i="21"/>
  <c r="C67" i="21"/>
  <c r="C68" i="21"/>
  <c r="C69" i="21"/>
  <c r="C70" i="21"/>
  <c r="C71" i="21"/>
  <c r="C72" i="21"/>
  <c r="C73" i="21"/>
  <c r="C74" i="21"/>
  <c r="C75" i="21"/>
  <c r="C76" i="21"/>
  <c r="C77" i="21"/>
  <c r="C78" i="21"/>
  <c r="C79" i="21"/>
  <c r="C80" i="21"/>
  <c r="C81" i="21"/>
  <c r="C82" i="21"/>
  <c r="C83" i="21"/>
  <c r="C84" i="21"/>
  <c r="C85" i="21"/>
  <c r="C86" i="21"/>
  <c r="C87" i="21"/>
  <c r="C88" i="21"/>
  <c r="C89" i="21"/>
  <c r="C90" i="21"/>
  <c r="C91" i="21"/>
  <c r="C92" i="21"/>
  <c r="C93" i="21"/>
  <c r="C94" i="21"/>
  <c r="C95" i="21"/>
  <c r="C2" i="21"/>
  <c r="B95" i="21"/>
  <c r="B94" i="21"/>
  <c r="B93" i="21"/>
  <c r="B92" i="21"/>
  <c r="B91" i="21"/>
  <c r="B90" i="21"/>
  <c r="B89" i="21"/>
  <c r="B88" i="21"/>
  <c r="B87" i="21"/>
  <c r="B86" i="21"/>
  <c r="B85" i="21"/>
  <c r="B84" i="21"/>
  <c r="B83" i="21"/>
  <c r="B82" i="21"/>
  <c r="B81" i="21"/>
  <c r="B80" i="21"/>
  <c r="B79" i="21"/>
  <c r="B78" i="21"/>
  <c r="B77" i="21"/>
  <c r="B76" i="21"/>
  <c r="B75" i="21"/>
  <c r="B74" i="21"/>
  <c r="B73" i="21"/>
  <c r="B72" i="21"/>
  <c r="B71" i="21"/>
  <c r="B70" i="21"/>
  <c r="B69" i="21"/>
  <c r="B68" i="21"/>
  <c r="B67" i="21"/>
  <c r="B66" i="21"/>
  <c r="B65" i="21"/>
  <c r="B64" i="21"/>
  <c r="B63" i="21"/>
  <c r="B62" i="21"/>
  <c r="B61" i="21"/>
  <c r="B60" i="21"/>
  <c r="B59" i="21"/>
  <c r="B58" i="21"/>
  <c r="B57" i="21"/>
  <c r="B56" i="21"/>
  <c r="B55" i="21"/>
  <c r="B54" i="21"/>
  <c r="B53" i="21"/>
  <c r="B52" i="21"/>
  <c r="B51" i="21"/>
  <c r="B50" i="21"/>
  <c r="B49" i="21"/>
  <c r="B48" i="21"/>
  <c r="B47" i="21"/>
  <c r="B46" i="21"/>
  <c r="B45" i="21"/>
  <c r="B44" i="21"/>
  <c r="B43" i="21"/>
  <c r="B42" i="21"/>
  <c r="B41" i="21"/>
  <c r="B40" i="21"/>
  <c r="B39" i="21"/>
  <c r="B38" i="21"/>
  <c r="B37" i="21"/>
  <c r="B36" i="21"/>
  <c r="B35" i="21"/>
  <c r="B34" i="21"/>
  <c r="B33" i="21"/>
  <c r="B32" i="21"/>
  <c r="B31" i="21"/>
  <c r="B30" i="21"/>
  <c r="B29" i="21"/>
  <c r="B28" i="21"/>
  <c r="B27" i="21"/>
  <c r="B26" i="21"/>
  <c r="B25" i="21"/>
  <c r="B24" i="21"/>
  <c r="B23" i="21"/>
  <c r="B22" i="21"/>
  <c r="B21" i="21"/>
  <c r="B20" i="21"/>
  <c r="B19" i="21"/>
  <c r="B18" i="21"/>
  <c r="B17" i="21"/>
  <c r="B16" i="21"/>
  <c r="B15" i="21"/>
  <c r="B14" i="21"/>
  <c r="B13" i="21"/>
  <c r="B12" i="21"/>
  <c r="B11" i="21"/>
  <c r="B10" i="21"/>
  <c r="B9" i="21"/>
  <c r="B8" i="21"/>
  <c r="B7" i="21"/>
  <c r="B6" i="21"/>
  <c r="B5" i="21"/>
  <c r="B4" i="21"/>
  <c r="B3" i="21"/>
  <c r="B2" i="21"/>
  <c r="AI23" i="17"/>
  <c r="P95" i="1"/>
  <c r="O95" i="1"/>
  <c r="N95" i="1"/>
  <c r="M95" i="1"/>
  <c r="L95" i="1"/>
  <c r="R95" i="1" l="1"/>
  <c r="S95" i="1"/>
  <c r="Q95" i="1"/>
  <c r="J95" i="1"/>
  <c r="K95" i="1"/>
  <c r="I95" i="1"/>
  <c r="H95" i="1"/>
  <c r="H91" i="1"/>
  <c r="I91" i="1"/>
  <c r="J91" i="1"/>
  <c r="K91" i="1"/>
  <c r="L91" i="1"/>
  <c r="M91" i="1"/>
  <c r="N91" i="1"/>
  <c r="O91" i="1"/>
  <c r="P91" i="1"/>
  <c r="Q91" i="1"/>
  <c r="R91" i="1"/>
  <c r="S91" i="1"/>
  <c r="H92" i="1"/>
  <c r="I92" i="1"/>
  <c r="J92" i="1"/>
  <c r="K92" i="1"/>
  <c r="L92" i="1"/>
  <c r="M92" i="1"/>
  <c r="N92" i="1"/>
  <c r="O92" i="1"/>
  <c r="P92" i="1"/>
  <c r="Q92" i="1"/>
  <c r="R92" i="1"/>
  <c r="S92" i="1"/>
  <c r="H3" i="1"/>
  <c r="I3" i="1"/>
  <c r="J3" i="1"/>
  <c r="K3" i="1"/>
  <c r="L3" i="1"/>
  <c r="M3" i="1"/>
  <c r="N3" i="1"/>
  <c r="O3" i="1"/>
  <c r="P3" i="1"/>
  <c r="Q3" i="1"/>
  <c r="R3" i="1"/>
  <c r="S3" i="1"/>
  <c r="H4" i="1"/>
  <c r="I4" i="1"/>
  <c r="J4" i="1"/>
  <c r="K4" i="1"/>
  <c r="L4" i="1"/>
  <c r="M4" i="1"/>
  <c r="N4" i="1"/>
  <c r="O4" i="1"/>
  <c r="P4" i="1"/>
  <c r="Q4" i="1"/>
  <c r="R4" i="1"/>
  <c r="S4" i="1"/>
  <c r="H5" i="1"/>
  <c r="I5" i="1"/>
  <c r="J5" i="1"/>
  <c r="K5" i="1"/>
  <c r="L5" i="1"/>
  <c r="M5" i="1"/>
  <c r="N5" i="1"/>
  <c r="O5" i="1"/>
  <c r="P5" i="1"/>
  <c r="Q5" i="1"/>
  <c r="R5" i="1"/>
  <c r="S5" i="1"/>
  <c r="H6" i="1"/>
  <c r="I6" i="1"/>
  <c r="J6" i="1"/>
  <c r="K6" i="1"/>
  <c r="L6" i="1"/>
  <c r="M6" i="1"/>
  <c r="N6" i="1"/>
  <c r="O6" i="1"/>
  <c r="P6" i="1"/>
  <c r="Q6" i="1"/>
  <c r="R6" i="1"/>
  <c r="S6" i="1"/>
  <c r="H7" i="1"/>
  <c r="I7" i="1"/>
  <c r="J7" i="1"/>
  <c r="K7" i="1"/>
  <c r="L7" i="1"/>
  <c r="M7" i="1"/>
  <c r="N7" i="1"/>
  <c r="O7" i="1"/>
  <c r="P7" i="1"/>
  <c r="Q7" i="1"/>
  <c r="R7" i="1"/>
  <c r="S7" i="1"/>
  <c r="H8" i="1"/>
  <c r="I8" i="1"/>
  <c r="J8" i="1"/>
  <c r="K8" i="1"/>
  <c r="L8" i="1"/>
  <c r="M8" i="1"/>
  <c r="N8" i="1"/>
  <c r="O8" i="1"/>
  <c r="P8" i="1"/>
  <c r="Q8" i="1"/>
  <c r="R8" i="1"/>
  <c r="S8" i="1"/>
  <c r="H9" i="1"/>
  <c r="I9" i="1"/>
  <c r="J9" i="1"/>
  <c r="K9" i="1"/>
  <c r="L9" i="1"/>
  <c r="M9" i="1"/>
  <c r="N9" i="1"/>
  <c r="O9" i="1"/>
  <c r="P9" i="1"/>
  <c r="Q9" i="1"/>
  <c r="R9" i="1"/>
  <c r="S9" i="1"/>
  <c r="H10" i="1"/>
  <c r="I10" i="1"/>
  <c r="J10" i="1"/>
  <c r="K10" i="1"/>
  <c r="L10" i="1"/>
  <c r="M10" i="1"/>
  <c r="N10" i="1"/>
  <c r="O10" i="1"/>
  <c r="P10" i="1"/>
  <c r="Q10" i="1"/>
  <c r="R10" i="1"/>
  <c r="S10" i="1"/>
  <c r="H11" i="1"/>
  <c r="I11" i="1"/>
  <c r="J11" i="1"/>
  <c r="K11" i="1"/>
  <c r="L11" i="1"/>
  <c r="M11" i="1"/>
  <c r="N11" i="1"/>
  <c r="O11" i="1"/>
  <c r="P11" i="1"/>
  <c r="Q11" i="1"/>
  <c r="R11" i="1"/>
  <c r="S11" i="1"/>
  <c r="H12" i="1"/>
  <c r="I12" i="1"/>
  <c r="J12" i="1"/>
  <c r="K12" i="1"/>
  <c r="L12" i="1"/>
  <c r="M12" i="1"/>
  <c r="N12" i="1"/>
  <c r="O12" i="1"/>
  <c r="P12" i="1"/>
  <c r="Q12" i="1"/>
  <c r="R12" i="1"/>
  <c r="S12" i="1"/>
  <c r="H13" i="1"/>
  <c r="I13" i="1"/>
  <c r="J13" i="1"/>
  <c r="K13" i="1"/>
  <c r="L13" i="1"/>
  <c r="M13" i="1"/>
  <c r="N13" i="1"/>
  <c r="O13" i="1"/>
  <c r="P13" i="1"/>
  <c r="Q13" i="1"/>
  <c r="R13" i="1"/>
  <c r="S13" i="1"/>
  <c r="H14" i="1"/>
  <c r="I14" i="1"/>
  <c r="J14" i="1"/>
  <c r="K14" i="1"/>
  <c r="L14" i="1"/>
  <c r="M14" i="1"/>
  <c r="N14" i="1"/>
  <c r="O14" i="1"/>
  <c r="P14" i="1"/>
  <c r="Q14" i="1"/>
  <c r="R14" i="1"/>
  <c r="S14" i="1"/>
  <c r="H15" i="1"/>
  <c r="I15" i="1"/>
  <c r="J15" i="1"/>
  <c r="K15" i="1"/>
  <c r="L15" i="1"/>
  <c r="M15" i="1"/>
  <c r="N15" i="1"/>
  <c r="O15" i="1"/>
  <c r="P15" i="1"/>
  <c r="Q15" i="1"/>
  <c r="R15" i="1"/>
  <c r="S15" i="1"/>
  <c r="H16" i="1"/>
  <c r="I16" i="1"/>
  <c r="J16" i="1"/>
  <c r="K16" i="1"/>
  <c r="L16" i="1"/>
  <c r="M16" i="1"/>
  <c r="N16" i="1"/>
  <c r="O16" i="1"/>
  <c r="P16" i="1"/>
  <c r="Q16" i="1"/>
  <c r="R16" i="1"/>
  <c r="S16" i="1"/>
  <c r="H17" i="1"/>
  <c r="I17" i="1"/>
  <c r="J17" i="1"/>
  <c r="K17" i="1"/>
  <c r="L17" i="1"/>
  <c r="M17" i="1"/>
  <c r="N17" i="1"/>
  <c r="O17" i="1"/>
  <c r="P17" i="1"/>
  <c r="Q17" i="1"/>
  <c r="R17" i="1"/>
  <c r="S17" i="1"/>
  <c r="H18" i="1"/>
  <c r="I18" i="1"/>
  <c r="J18" i="1"/>
  <c r="K18" i="1"/>
  <c r="L18" i="1"/>
  <c r="M18" i="1"/>
  <c r="N18" i="1"/>
  <c r="O18" i="1"/>
  <c r="P18" i="1"/>
  <c r="Q18" i="1"/>
  <c r="R18" i="1"/>
  <c r="S18" i="1"/>
  <c r="H19" i="1"/>
  <c r="I19" i="1"/>
  <c r="J19" i="1"/>
  <c r="K19" i="1"/>
  <c r="L19" i="1"/>
  <c r="M19" i="1"/>
  <c r="N19" i="1"/>
  <c r="O19" i="1"/>
  <c r="P19" i="1"/>
  <c r="Q19" i="1"/>
  <c r="R19" i="1"/>
  <c r="S19" i="1"/>
  <c r="H20" i="1"/>
  <c r="I20" i="1"/>
  <c r="J20" i="1"/>
  <c r="K20" i="1"/>
  <c r="L20" i="1"/>
  <c r="M20" i="1"/>
  <c r="N20" i="1"/>
  <c r="O20" i="1"/>
  <c r="P20" i="1"/>
  <c r="Q20" i="1"/>
  <c r="R20" i="1"/>
  <c r="S20" i="1"/>
  <c r="H21" i="1"/>
  <c r="I21" i="1"/>
  <c r="J21" i="1"/>
  <c r="K21" i="1"/>
  <c r="L21" i="1"/>
  <c r="M21" i="1"/>
  <c r="N21" i="1"/>
  <c r="O21" i="1"/>
  <c r="P21" i="1"/>
  <c r="Q21" i="1"/>
  <c r="R21" i="1"/>
  <c r="S21" i="1"/>
  <c r="H22" i="1"/>
  <c r="I22" i="1"/>
  <c r="J22" i="1"/>
  <c r="K22" i="1"/>
  <c r="L22" i="1"/>
  <c r="M22" i="1"/>
  <c r="N22" i="1"/>
  <c r="O22" i="1"/>
  <c r="P22" i="1"/>
  <c r="Q22" i="1"/>
  <c r="R22" i="1"/>
  <c r="S22" i="1"/>
  <c r="H23" i="1"/>
  <c r="I23" i="1"/>
  <c r="J23" i="1"/>
  <c r="K23" i="1"/>
  <c r="L23" i="1"/>
  <c r="M23" i="1"/>
  <c r="N23" i="1"/>
  <c r="O23" i="1"/>
  <c r="P23" i="1"/>
  <c r="Q23" i="1"/>
  <c r="R23" i="1"/>
  <c r="S23" i="1"/>
  <c r="H24" i="1"/>
  <c r="I24" i="1"/>
  <c r="J24" i="1"/>
  <c r="K24" i="1"/>
  <c r="L24" i="1"/>
  <c r="M24" i="1"/>
  <c r="N24" i="1"/>
  <c r="O24" i="1"/>
  <c r="P24" i="1"/>
  <c r="Q24" i="1"/>
  <c r="R24" i="1"/>
  <c r="S24" i="1"/>
  <c r="H25" i="1"/>
  <c r="I25" i="1"/>
  <c r="J25" i="1"/>
  <c r="K25" i="1"/>
  <c r="L25" i="1"/>
  <c r="M25" i="1"/>
  <c r="N25" i="1"/>
  <c r="O25" i="1"/>
  <c r="P25" i="1"/>
  <c r="Q25" i="1"/>
  <c r="R25" i="1"/>
  <c r="S25" i="1"/>
  <c r="H26" i="1"/>
  <c r="I26" i="1"/>
  <c r="J26" i="1"/>
  <c r="K26" i="1"/>
  <c r="L26" i="1"/>
  <c r="M26" i="1"/>
  <c r="N26" i="1"/>
  <c r="O26" i="1"/>
  <c r="P26" i="1"/>
  <c r="Q26" i="1"/>
  <c r="R26" i="1"/>
  <c r="S26" i="1"/>
  <c r="H27" i="1"/>
  <c r="I27" i="1"/>
  <c r="J27" i="1"/>
  <c r="K27" i="1"/>
  <c r="L27" i="1"/>
  <c r="M27" i="1"/>
  <c r="N27" i="1"/>
  <c r="O27" i="1"/>
  <c r="P27" i="1"/>
  <c r="Q27" i="1"/>
  <c r="R27" i="1"/>
  <c r="S27" i="1"/>
  <c r="H28" i="1"/>
  <c r="I28" i="1"/>
  <c r="J28" i="1"/>
  <c r="K28" i="1"/>
  <c r="L28" i="1"/>
  <c r="M28" i="1"/>
  <c r="N28" i="1"/>
  <c r="O28" i="1"/>
  <c r="P28" i="1"/>
  <c r="Q28" i="1"/>
  <c r="R28" i="1"/>
  <c r="S28" i="1"/>
  <c r="H29" i="1"/>
  <c r="I29" i="1"/>
  <c r="J29" i="1"/>
  <c r="K29" i="1"/>
  <c r="L29" i="1"/>
  <c r="M29" i="1"/>
  <c r="N29" i="1"/>
  <c r="O29" i="1"/>
  <c r="P29" i="1"/>
  <c r="Q29" i="1"/>
  <c r="R29" i="1"/>
  <c r="S29" i="1"/>
  <c r="H30" i="1"/>
  <c r="I30" i="1"/>
  <c r="J30" i="1"/>
  <c r="K30" i="1"/>
  <c r="L30" i="1"/>
  <c r="M30" i="1"/>
  <c r="N30" i="1"/>
  <c r="O30" i="1"/>
  <c r="P30" i="1"/>
  <c r="Q30" i="1"/>
  <c r="R30" i="1"/>
  <c r="S30" i="1"/>
  <c r="H31" i="1"/>
  <c r="I31" i="1"/>
  <c r="J31" i="1"/>
  <c r="K31" i="1"/>
  <c r="L31" i="1"/>
  <c r="M31" i="1"/>
  <c r="N31" i="1"/>
  <c r="O31" i="1"/>
  <c r="P31" i="1"/>
  <c r="Q31" i="1"/>
  <c r="R31" i="1"/>
  <c r="S31" i="1"/>
  <c r="H32" i="1"/>
  <c r="I32" i="1"/>
  <c r="J32" i="1"/>
  <c r="K32" i="1"/>
  <c r="L32" i="1"/>
  <c r="M32" i="1"/>
  <c r="N32" i="1"/>
  <c r="O32" i="1"/>
  <c r="P32" i="1"/>
  <c r="Q32" i="1"/>
  <c r="R32" i="1"/>
  <c r="S32" i="1"/>
  <c r="H33" i="1"/>
  <c r="I33" i="1"/>
  <c r="J33" i="1"/>
  <c r="K33" i="1"/>
  <c r="L33" i="1"/>
  <c r="M33" i="1"/>
  <c r="N33" i="1"/>
  <c r="O33" i="1"/>
  <c r="P33" i="1"/>
  <c r="Q33" i="1"/>
  <c r="R33" i="1"/>
  <c r="S33" i="1"/>
  <c r="H34" i="1"/>
  <c r="I34" i="1"/>
  <c r="J34" i="1"/>
  <c r="K34" i="1"/>
  <c r="L34" i="1"/>
  <c r="M34" i="1"/>
  <c r="N34" i="1"/>
  <c r="O34" i="1"/>
  <c r="P34" i="1"/>
  <c r="Q34" i="1"/>
  <c r="R34" i="1"/>
  <c r="S34" i="1"/>
  <c r="H35" i="1"/>
  <c r="I35" i="1"/>
  <c r="J35" i="1"/>
  <c r="K35" i="1"/>
  <c r="L35" i="1"/>
  <c r="M35" i="1"/>
  <c r="N35" i="1"/>
  <c r="O35" i="1"/>
  <c r="P35" i="1"/>
  <c r="Q35" i="1"/>
  <c r="R35" i="1"/>
  <c r="S35" i="1"/>
  <c r="H36" i="1"/>
  <c r="I36" i="1"/>
  <c r="J36" i="1"/>
  <c r="K36" i="1"/>
  <c r="L36" i="1"/>
  <c r="M36" i="1"/>
  <c r="N36" i="1"/>
  <c r="O36" i="1"/>
  <c r="P36" i="1"/>
  <c r="Q36" i="1"/>
  <c r="R36" i="1"/>
  <c r="S36" i="1"/>
  <c r="H37" i="1"/>
  <c r="I37" i="1"/>
  <c r="J37" i="1"/>
  <c r="K37" i="1"/>
  <c r="L37" i="1"/>
  <c r="M37" i="1"/>
  <c r="N37" i="1"/>
  <c r="O37" i="1"/>
  <c r="P37" i="1"/>
  <c r="Q37" i="1"/>
  <c r="R37" i="1"/>
  <c r="S37" i="1"/>
  <c r="H38" i="1"/>
  <c r="I38" i="1"/>
  <c r="J38" i="1"/>
  <c r="K38" i="1"/>
  <c r="L38" i="1"/>
  <c r="M38" i="1"/>
  <c r="N38" i="1"/>
  <c r="O38" i="1"/>
  <c r="P38" i="1"/>
  <c r="Q38" i="1"/>
  <c r="R38" i="1"/>
  <c r="S38" i="1"/>
  <c r="H39" i="1"/>
  <c r="I39" i="1"/>
  <c r="J39" i="1"/>
  <c r="K39" i="1"/>
  <c r="L39" i="1"/>
  <c r="M39" i="1"/>
  <c r="N39" i="1"/>
  <c r="O39" i="1"/>
  <c r="P39" i="1"/>
  <c r="Q39" i="1"/>
  <c r="R39" i="1"/>
  <c r="S39" i="1"/>
  <c r="H40" i="1"/>
  <c r="I40" i="1"/>
  <c r="J40" i="1"/>
  <c r="K40" i="1"/>
  <c r="L40" i="1"/>
  <c r="M40" i="1"/>
  <c r="N40" i="1"/>
  <c r="O40" i="1"/>
  <c r="P40" i="1"/>
  <c r="Q40" i="1"/>
  <c r="R40" i="1"/>
  <c r="S40" i="1"/>
  <c r="H41" i="1"/>
  <c r="I41" i="1"/>
  <c r="J41" i="1"/>
  <c r="K41" i="1"/>
  <c r="L41" i="1"/>
  <c r="M41" i="1"/>
  <c r="N41" i="1"/>
  <c r="O41" i="1"/>
  <c r="P41" i="1"/>
  <c r="Q41" i="1"/>
  <c r="R41" i="1"/>
  <c r="S41" i="1"/>
  <c r="H42" i="1"/>
  <c r="I42" i="1"/>
  <c r="J42" i="1"/>
  <c r="K42" i="1"/>
  <c r="L42" i="1"/>
  <c r="M42" i="1"/>
  <c r="N42" i="1"/>
  <c r="O42" i="1"/>
  <c r="P42" i="1"/>
  <c r="Q42" i="1"/>
  <c r="R42" i="1"/>
  <c r="S42" i="1"/>
  <c r="H43" i="1"/>
  <c r="I43" i="1"/>
  <c r="J43" i="1"/>
  <c r="K43" i="1"/>
  <c r="L43" i="1"/>
  <c r="M43" i="1"/>
  <c r="N43" i="1"/>
  <c r="O43" i="1"/>
  <c r="P43" i="1"/>
  <c r="Q43" i="1"/>
  <c r="R43" i="1"/>
  <c r="S43" i="1"/>
  <c r="H44" i="1"/>
  <c r="I44" i="1"/>
  <c r="J44" i="1"/>
  <c r="K44" i="1"/>
  <c r="L44" i="1"/>
  <c r="M44" i="1"/>
  <c r="N44" i="1"/>
  <c r="O44" i="1"/>
  <c r="P44" i="1"/>
  <c r="Q44" i="1"/>
  <c r="R44" i="1"/>
  <c r="S44" i="1"/>
  <c r="H45" i="1"/>
  <c r="I45" i="1"/>
  <c r="J45" i="1"/>
  <c r="K45" i="1"/>
  <c r="L45" i="1"/>
  <c r="M45" i="1"/>
  <c r="N45" i="1"/>
  <c r="O45" i="1"/>
  <c r="P45" i="1"/>
  <c r="Q45" i="1"/>
  <c r="R45" i="1"/>
  <c r="S45" i="1"/>
  <c r="H46" i="1"/>
  <c r="I46" i="1"/>
  <c r="J46" i="1"/>
  <c r="K46" i="1"/>
  <c r="L46" i="1"/>
  <c r="M46" i="1"/>
  <c r="N46" i="1"/>
  <c r="O46" i="1"/>
  <c r="P46" i="1"/>
  <c r="Q46" i="1"/>
  <c r="R46" i="1"/>
  <c r="S46" i="1"/>
  <c r="H47" i="1"/>
  <c r="I47" i="1"/>
  <c r="J47" i="1"/>
  <c r="K47" i="1"/>
  <c r="L47" i="1"/>
  <c r="M47" i="1"/>
  <c r="N47" i="1"/>
  <c r="O47" i="1"/>
  <c r="P47" i="1"/>
  <c r="Q47" i="1"/>
  <c r="R47" i="1"/>
  <c r="S47" i="1"/>
  <c r="H48" i="1"/>
  <c r="I48" i="1"/>
  <c r="J48" i="1"/>
  <c r="K48" i="1"/>
  <c r="L48" i="1"/>
  <c r="M48" i="1"/>
  <c r="N48" i="1"/>
  <c r="O48" i="1"/>
  <c r="P48" i="1"/>
  <c r="Q48" i="1"/>
  <c r="R48" i="1"/>
  <c r="S48" i="1"/>
  <c r="H49" i="1"/>
  <c r="I49" i="1"/>
  <c r="J49" i="1"/>
  <c r="K49" i="1"/>
  <c r="L49" i="1"/>
  <c r="M49" i="1"/>
  <c r="N49" i="1"/>
  <c r="O49" i="1"/>
  <c r="P49" i="1"/>
  <c r="Q49" i="1"/>
  <c r="R49" i="1"/>
  <c r="S49" i="1"/>
  <c r="H50" i="1"/>
  <c r="I50" i="1"/>
  <c r="J50" i="1"/>
  <c r="K50" i="1"/>
  <c r="L50" i="1"/>
  <c r="M50" i="1"/>
  <c r="N50" i="1"/>
  <c r="O50" i="1"/>
  <c r="P50" i="1"/>
  <c r="Q50" i="1"/>
  <c r="R50" i="1"/>
  <c r="S50" i="1"/>
  <c r="H51" i="1"/>
  <c r="I51" i="1"/>
  <c r="J51" i="1"/>
  <c r="K51" i="1"/>
  <c r="L51" i="1"/>
  <c r="M51" i="1"/>
  <c r="N51" i="1"/>
  <c r="O51" i="1"/>
  <c r="P51" i="1"/>
  <c r="Q51" i="1"/>
  <c r="R51" i="1"/>
  <c r="S51" i="1"/>
  <c r="H52" i="1"/>
  <c r="I52" i="1"/>
  <c r="J52" i="1"/>
  <c r="K52" i="1"/>
  <c r="L52" i="1"/>
  <c r="M52" i="1"/>
  <c r="N52" i="1"/>
  <c r="O52" i="1"/>
  <c r="P52" i="1"/>
  <c r="Q52" i="1"/>
  <c r="R52" i="1"/>
  <c r="S52" i="1"/>
  <c r="H53" i="1"/>
  <c r="I53" i="1"/>
  <c r="J53" i="1"/>
  <c r="K53" i="1"/>
  <c r="L53" i="1"/>
  <c r="M53" i="1"/>
  <c r="N53" i="1"/>
  <c r="O53" i="1"/>
  <c r="P53" i="1"/>
  <c r="Q53" i="1"/>
  <c r="R53" i="1"/>
  <c r="S53" i="1"/>
  <c r="H54" i="1"/>
  <c r="I54" i="1"/>
  <c r="J54" i="1"/>
  <c r="K54" i="1"/>
  <c r="L54" i="1"/>
  <c r="M54" i="1"/>
  <c r="N54" i="1"/>
  <c r="O54" i="1"/>
  <c r="P54" i="1"/>
  <c r="Q54" i="1"/>
  <c r="R54" i="1"/>
  <c r="S54" i="1"/>
  <c r="H55" i="1"/>
  <c r="I55" i="1"/>
  <c r="J55" i="1"/>
  <c r="K55" i="1"/>
  <c r="L55" i="1"/>
  <c r="M55" i="1"/>
  <c r="N55" i="1"/>
  <c r="O55" i="1"/>
  <c r="P55" i="1"/>
  <c r="Q55" i="1"/>
  <c r="R55" i="1"/>
  <c r="S55" i="1"/>
  <c r="H56" i="1"/>
  <c r="I56" i="1"/>
  <c r="J56" i="1"/>
  <c r="K56" i="1"/>
  <c r="L56" i="1"/>
  <c r="M56" i="1"/>
  <c r="N56" i="1"/>
  <c r="O56" i="1"/>
  <c r="P56" i="1"/>
  <c r="Q56" i="1"/>
  <c r="R56" i="1"/>
  <c r="S56" i="1"/>
  <c r="H57" i="1"/>
  <c r="I57" i="1"/>
  <c r="J57" i="1"/>
  <c r="K57" i="1"/>
  <c r="L57" i="1"/>
  <c r="M57" i="1"/>
  <c r="N57" i="1"/>
  <c r="O57" i="1"/>
  <c r="P57" i="1"/>
  <c r="Q57" i="1"/>
  <c r="R57" i="1"/>
  <c r="S57" i="1"/>
  <c r="H58" i="1"/>
  <c r="I58" i="1"/>
  <c r="J58" i="1"/>
  <c r="K58" i="1"/>
  <c r="L58" i="1"/>
  <c r="M58" i="1"/>
  <c r="N58" i="1"/>
  <c r="O58" i="1"/>
  <c r="P58" i="1"/>
  <c r="Q58" i="1"/>
  <c r="R58" i="1"/>
  <c r="S58" i="1"/>
  <c r="H59" i="1"/>
  <c r="I59" i="1"/>
  <c r="J59" i="1"/>
  <c r="K59" i="1"/>
  <c r="L59" i="1"/>
  <c r="M59" i="1"/>
  <c r="N59" i="1"/>
  <c r="O59" i="1"/>
  <c r="P59" i="1"/>
  <c r="Q59" i="1"/>
  <c r="R59" i="1"/>
  <c r="S59" i="1"/>
  <c r="H61" i="1"/>
  <c r="I61" i="1"/>
  <c r="J61" i="1"/>
  <c r="K61" i="1"/>
  <c r="L61" i="1"/>
  <c r="M61" i="1"/>
  <c r="N61" i="1"/>
  <c r="O61" i="1"/>
  <c r="P61" i="1"/>
  <c r="Q61" i="1"/>
  <c r="R61" i="1"/>
  <c r="S61" i="1"/>
  <c r="H62" i="1"/>
  <c r="I62" i="1"/>
  <c r="J62" i="1"/>
  <c r="K62" i="1"/>
  <c r="L62" i="1"/>
  <c r="M62" i="1"/>
  <c r="N62" i="1"/>
  <c r="O62" i="1"/>
  <c r="P62" i="1"/>
  <c r="Q62" i="1"/>
  <c r="R62" i="1"/>
  <c r="S62" i="1"/>
  <c r="H63" i="1"/>
  <c r="I63" i="1"/>
  <c r="J63" i="1"/>
  <c r="K63" i="1"/>
  <c r="L63" i="1"/>
  <c r="M63" i="1"/>
  <c r="N63" i="1"/>
  <c r="O63" i="1"/>
  <c r="P63" i="1"/>
  <c r="Q63" i="1"/>
  <c r="R63" i="1"/>
  <c r="S63" i="1"/>
  <c r="H64" i="1"/>
  <c r="I64" i="1"/>
  <c r="J64" i="1"/>
  <c r="K64" i="1"/>
  <c r="L64" i="1"/>
  <c r="M64" i="1"/>
  <c r="N64" i="1"/>
  <c r="O64" i="1"/>
  <c r="P64" i="1"/>
  <c r="Q64" i="1"/>
  <c r="R64" i="1"/>
  <c r="S64" i="1"/>
  <c r="H65" i="1"/>
  <c r="I65" i="1"/>
  <c r="J65" i="1"/>
  <c r="K65" i="1"/>
  <c r="L65" i="1"/>
  <c r="M65" i="1"/>
  <c r="N65" i="1"/>
  <c r="O65" i="1"/>
  <c r="P65" i="1"/>
  <c r="Q65" i="1"/>
  <c r="R65" i="1"/>
  <c r="S65" i="1"/>
  <c r="H66" i="1"/>
  <c r="I66" i="1"/>
  <c r="J66" i="1"/>
  <c r="K66" i="1"/>
  <c r="L66" i="1"/>
  <c r="M66" i="1"/>
  <c r="N66" i="1"/>
  <c r="O66" i="1"/>
  <c r="P66" i="1"/>
  <c r="Q66" i="1"/>
  <c r="R66" i="1"/>
  <c r="S66" i="1"/>
  <c r="H67" i="1"/>
  <c r="I67" i="1"/>
  <c r="J67" i="1"/>
  <c r="K67" i="1"/>
  <c r="L67" i="1"/>
  <c r="M67" i="1"/>
  <c r="N67" i="1"/>
  <c r="O67" i="1"/>
  <c r="P67" i="1"/>
  <c r="Q67" i="1"/>
  <c r="R67" i="1"/>
  <c r="S67" i="1"/>
  <c r="H68" i="1"/>
  <c r="I68" i="1"/>
  <c r="J68" i="1"/>
  <c r="K68" i="1"/>
  <c r="L68" i="1"/>
  <c r="M68" i="1"/>
  <c r="N68" i="1"/>
  <c r="O68" i="1"/>
  <c r="P68" i="1"/>
  <c r="Q68" i="1"/>
  <c r="R68" i="1"/>
  <c r="S68" i="1"/>
  <c r="H69" i="1"/>
  <c r="I69" i="1"/>
  <c r="J69" i="1"/>
  <c r="K69" i="1"/>
  <c r="L69" i="1"/>
  <c r="M69" i="1"/>
  <c r="N69" i="1"/>
  <c r="O69" i="1"/>
  <c r="P69" i="1"/>
  <c r="Q69" i="1"/>
  <c r="R69" i="1"/>
  <c r="S69" i="1"/>
  <c r="H60" i="1"/>
  <c r="I60" i="1"/>
  <c r="J60" i="1"/>
  <c r="K60" i="1"/>
  <c r="L60" i="1"/>
  <c r="M60" i="1"/>
  <c r="N60" i="1"/>
  <c r="O60" i="1"/>
  <c r="P60" i="1"/>
  <c r="Q60" i="1"/>
  <c r="R60" i="1"/>
  <c r="S60" i="1"/>
  <c r="H70" i="1"/>
  <c r="I70" i="1"/>
  <c r="J70" i="1"/>
  <c r="K70" i="1"/>
  <c r="L70" i="1"/>
  <c r="M70" i="1"/>
  <c r="N70" i="1"/>
  <c r="O70" i="1"/>
  <c r="P70" i="1"/>
  <c r="Q70" i="1"/>
  <c r="R70" i="1"/>
  <c r="S70" i="1"/>
  <c r="H71" i="1"/>
  <c r="I71" i="1"/>
  <c r="J71" i="1"/>
  <c r="K71" i="1"/>
  <c r="L71" i="1"/>
  <c r="M71" i="1"/>
  <c r="N71" i="1"/>
  <c r="O71" i="1"/>
  <c r="P71" i="1"/>
  <c r="Q71" i="1"/>
  <c r="R71" i="1"/>
  <c r="S71" i="1"/>
  <c r="H72" i="1"/>
  <c r="I72" i="1"/>
  <c r="J72" i="1"/>
  <c r="K72" i="1"/>
  <c r="L72" i="1"/>
  <c r="M72" i="1"/>
  <c r="N72" i="1"/>
  <c r="O72" i="1"/>
  <c r="P72" i="1"/>
  <c r="Q72" i="1"/>
  <c r="R72" i="1"/>
  <c r="S72" i="1"/>
  <c r="H73" i="1"/>
  <c r="I73" i="1"/>
  <c r="J73" i="1"/>
  <c r="K73" i="1"/>
  <c r="L73" i="1"/>
  <c r="M73" i="1"/>
  <c r="N73" i="1"/>
  <c r="O73" i="1"/>
  <c r="P73" i="1"/>
  <c r="Q73" i="1"/>
  <c r="R73" i="1"/>
  <c r="S73" i="1"/>
  <c r="H74" i="1"/>
  <c r="I74" i="1"/>
  <c r="J74" i="1"/>
  <c r="K74" i="1"/>
  <c r="L74" i="1"/>
  <c r="M74" i="1"/>
  <c r="N74" i="1"/>
  <c r="O74" i="1"/>
  <c r="P74" i="1"/>
  <c r="Q74" i="1"/>
  <c r="R74" i="1"/>
  <c r="S74" i="1"/>
  <c r="H75" i="1"/>
  <c r="I75" i="1"/>
  <c r="J75" i="1"/>
  <c r="K75" i="1"/>
  <c r="L75" i="1"/>
  <c r="M75" i="1"/>
  <c r="N75" i="1"/>
  <c r="O75" i="1"/>
  <c r="P75" i="1"/>
  <c r="Q75" i="1"/>
  <c r="R75" i="1"/>
  <c r="S75" i="1"/>
  <c r="H76" i="1"/>
  <c r="I76" i="1"/>
  <c r="J76" i="1"/>
  <c r="K76" i="1"/>
  <c r="L76" i="1"/>
  <c r="M76" i="1"/>
  <c r="N76" i="1"/>
  <c r="O76" i="1"/>
  <c r="P76" i="1"/>
  <c r="Q76" i="1"/>
  <c r="R76" i="1"/>
  <c r="S76" i="1"/>
  <c r="H77" i="1"/>
  <c r="I77" i="1"/>
  <c r="J77" i="1"/>
  <c r="K77" i="1"/>
  <c r="L77" i="1"/>
  <c r="M77" i="1"/>
  <c r="N77" i="1"/>
  <c r="O77" i="1"/>
  <c r="P77" i="1"/>
  <c r="Q77" i="1"/>
  <c r="R77" i="1"/>
  <c r="S77" i="1"/>
  <c r="H78" i="1"/>
  <c r="I78" i="1"/>
  <c r="J78" i="1"/>
  <c r="K78" i="1"/>
  <c r="L78" i="1"/>
  <c r="M78" i="1"/>
  <c r="N78" i="1"/>
  <c r="O78" i="1"/>
  <c r="P78" i="1"/>
  <c r="Q78" i="1"/>
  <c r="R78" i="1"/>
  <c r="S78" i="1"/>
  <c r="H83" i="1"/>
  <c r="I83" i="1"/>
  <c r="J83" i="1"/>
  <c r="K83" i="1"/>
  <c r="L83" i="1"/>
  <c r="M83" i="1"/>
  <c r="N83" i="1"/>
  <c r="O83" i="1"/>
  <c r="P83" i="1"/>
  <c r="Q83" i="1"/>
  <c r="R83" i="1"/>
  <c r="S83" i="1"/>
  <c r="H80" i="1"/>
  <c r="I80" i="1"/>
  <c r="J80" i="1"/>
  <c r="K80" i="1"/>
  <c r="L80" i="1"/>
  <c r="M80" i="1"/>
  <c r="N80" i="1"/>
  <c r="O80" i="1"/>
  <c r="P80" i="1"/>
  <c r="Q80" i="1"/>
  <c r="R80" i="1"/>
  <c r="S80" i="1"/>
  <c r="H82" i="1"/>
  <c r="I82" i="1"/>
  <c r="J82" i="1"/>
  <c r="K82" i="1"/>
  <c r="L82" i="1"/>
  <c r="M82" i="1"/>
  <c r="N82" i="1"/>
  <c r="O82" i="1"/>
  <c r="P82" i="1"/>
  <c r="Q82" i="1"/>
  <c r="R82" i="1"/>
  <c r="S82" i="1"/>
  <c r="H84" i="1"/>
  <c r="I84" i="1"/>
  <c r="J84" i="1"/>
  <c r="K84" i="1"/>
  <c r="L84" i="1"/>
  <c r="M84" i="1"/>
  <c r="N84" i="1"/>
  <c r="O84" i="1"/>
  <c r="P84" i="1"/>
  <c r="Q84" i="1"/>
  <c r="R84" i="1"/>
  <c r="S84" i="1"/>
  <c r="H79" i="1"/>
  <c r="I79" i="1"/>
  <c r="J79" i="1"/>
  <c r="K79" i="1"/>
  <c r="L79" i="1"/>
  <c r="M79" i="1"/>
  <c r="N79" i="1"/>
  <c r="O79" i="1"/>
  <c r="P79" i="1"/>
  <c r="Q79" i="1"/>
  <c r="R79" i="1"/>
  <c r="S79" i="1"/>
  <c r="H81" i="1"/>
  <c r="I81" i="1"/>
  <c r="J81" i="1"/>
  <c r="K81" i="1"/>
  <c r="L81" i="1"/>
  <c r="M81" i="1"/>
  <c r="N81" i="1"/>
  <c r="O81" i="1"/>
  <c r="P81" i="1"/>
  <c r="Q81" i="1"/>
  <c r="R81" i="1"/>
  <c r="S81" i="1"/>
  <c r="H85" i="1"/>
  <c r="I85" i="1"/>
  <c r="J85" i="1"/>
  <c r="K85" i="1"/>
  <c r="L85" i="1"/>
  <c r="M85" i="1"/>
  <c r="N85" i="1"/>
  <c r="O85" i="1"/>
  <c r="P85" i="1"/>
  <c r="Q85" i="1"/>
  <c r="R85" i="1"/>
  <c r="S85" i="1"/>
  <c r="H93" i="1"/>
  <c r="I93" i="1"/>
  <c r="J93" i="1"/>
  <c r="K93" i="1"/>
  <c r="L93" i="1"/>
  <c r="M93" i="1"/>
  <c r="N93" i="1"/>
  <c r="O93" i="1"/>
  <c r="P93" i="1"/>
  <c r="Q93" i="1"/>
  <c r="R93" i="1"/>
  <c r="S93" i="1"/>
  <c r="H86" i="1"/>
  <c r="I86" i="1"/>
  <c r="J86" i="1"/>
  <c r="K86" i="1"/>
  <c r="L86" i="1"/>
  <c r="M86" i="1"/>
  <c r="N86" i="1"/>
  <c r="O86" i="1"/>
  <c r="P86" i="1"/>
  <c r="Q86" i="1"/>
  <c r="R86" i="1"/>
  <c r="S86" i="1"/>
  <c r="H87" i="1"/>
  <c r="I87" i="1"/>
  <c r="J87" i="1"/>
  <c r="K87" i="1"/>
  <c r="L87" i="1"/>
  <c r="M87" i="1"/>
  <c r="N87" i="1"/>
  <c r="O87" i="1"/>
  <c r="P87" i="1"/>
  <c r="Q87" i="1"/>
  <c r="R87" i="1"/>
  <c r="S87" i="1"/>
  <c r="H88" i="1"/>
  <c r="I88" i="1"/>
  <c r="J88" i="1"/>
  <c r="K88" i="1"/>
  <c r="L88" i="1"/>
  <c r="M88" i="1"/>
  <c r="N88" i="1"/>
  <c r="O88" i="1"/>
  <c r="P88" i="1"/>
  <c r="Q88" i="1"/>
  <c r="R88" i="1"/>
  <c r="S88" i="1"/>
  <c r="H94" i="1"/>
  <c r="I94" i="1"/>
  <c r="J94" i="1"/>
  <c r="K94" i="1"/>
  <c r="L94" i="1"/>
  <c r="M94" i="1"/>
  <c r="N94" i="1"/>
  <c r="O94" i="1"/>
  <c r="P94" i="1"/>
  <c r="Q94" i="1"/>
  <c r="R94" i="1"/>
  <c r="S94" i="1"/>
  <c r="H89" i="1"/>
  <c r="I89" i="1"/>
  <c r="AI91" i="1" s="1"/>
  <c r="J89" i="1"/>
  <c r="K89" i="1"/>
  <c r="L89" i="1"/>
  <c r="M89" i="1"/>
  <c r="N89" i="1"/>
  <c r="O89" i="1"/>
  <c r="P89" i="1"/>
  <c r="Q89" i="1"/>
  <c r="R89" i="1"/>
  <c r="S89" i="1"/>
  <c r="H90" i="1"/>
  <c r="I90" i="1"/>
  <c r="J90" i="1"/>
  <c r="K90" i="1"/>
  <c r="L90" i="1"/>
  <c r="M90" i="1"/>
  <c r="N90" i="1"/>
  <c r="O90" i="1"/>
  <c r="P90" i="1"/>
  <c r="Q90" i="1"/>
  <c r="R90" i="1"/>
  <c r="S90" i="1"/>
  <c r="C92" i="1" l="1"/>
  <c r="C91" i="1"/>
  <c r="C94" i="1"/>
  <c r="C93" i="1"/>
  <c r="AI94" i="1"/>
  <c r="AI93" i="1"/>
  <c r="C88" i="1"/>
  <c r="C87" i="1"/>
  <c r="C86" i="1"/>
  <c r="AG94" i="1"/>
  <c r="AG93" i="1"/>
  <c r="AG87" i="1"/>
  <c r="AI90" i="1"/>
  <c r="AG88" i="1"/>
  <c r="AI86" i="1"/>
  <c r="C90" i="1"/>
  <c r="AG90" i="1"/>
  <c r="AI87" i="1"/>
  <c r="AI92" i="1"/>
  <c r="AG92" i="1"/>
  <c r="AG91" i="1"/>
  <c r="AK91" i="1" s="1"/>
  <c r="AI88" i="1"/>
  <c r="AG86" i="1"/>
  <c r="C14" i="1"/>
  <c r="C10" i="1"/>
  <c r="C4" i="1"/>
  <c r="AK94" i="1" l="1"/>
  <c r="AK92" i="1"/>
  <c r="AK90" i="1"/>
  <c r="AK93" i="1"/>
  <c r="AK88" i="1"/>
  <c r="AK87" i="1"/>
  <c r="AK86" i="1"/>
  <c r="C7" i="1"/>
  <c r="C9" i="1"/>
  <c r="C11" i="1"/>
  <c r="C15" i="1"/>
  <c r="C20" i="1"/>
  <c r="C21" i="1"/>
  <c r="C22" i="1"/>
  <c r="C23" i="1"/>
  <c r="C24" i="1"/>
  <c r="C26" i="1"/>
  <c r="C27" i="1"/>
  <c r="C28" i="1"/>
  <c r="C30" i="1"/>
  <c r="C31" i="1"/>
  <c r="C37" i="1"/>
  <c r="C39" i="1"/>
  <c r="C42" i="1"/>
  <c r="C45" i="1"/>
  <c r="C46" i="1"/>
  <c r="C47" i="1"/>
  <c r="C48" i="1"/>
  <c r="C50" i="1"/>
  <c r="C54" i="1"/>
  <c r="C55" i="1"/>
  <c r="C56" i="1"/>
  <c r="C57" i="1"/>
  <c r="C58" i="1"/>
  <c r="C59" i="1"/>
  <c r="C61" i="1"/>
  <c r="C62" i="1"/>
  <c r="C63" i="1"/>
  <c r="C64" i="1"/>
  <c r="C65" i="1"/>
  <c r="C68" i="1"/>
  <c r="C69" i="1"/>
  <c r="C72" i="1"/>
  <c r="C74" i="1"/>
  <c r="C76" i="1"/>
  <c r="C79" i="1"/>
  <c r="C80" i="1"/>
  <c r="C81" i="1"/>
  <c r="C82" i="1"/>
  <c r="C83" i="1"/>
  <c r="C85" i="1"/>
  <c r="C84" i="1"/>
  <c r="C70" i="1"/>
  <c r="C44" i="1"/>
  <c r="C71" i="1"/>
  <c r="C5" i="1"/>
  <c r="C73" i="1"/>
  <c r="C77" i="1"/>
  <c r="C29" i="1"/>
  <c r="C34" i="1"/>
  <c r="C51" i="1"/>
  <c r="C38" i="1"/>
  <c r="C66" i="1"/>
  <c r="C52" i="1"/>
  <c r="C53" i="1"/>
  <c r="C19" i="1"/>
  <c r="C13" i="1"/>
  <c r="C17" i="1"/>
  <c r="C32" i="1"/>
  <c r="C12" i="1"/>
  <c r="C43" i="1"/>
  <c r="C60" i="1"/>
  <c r="C41" i="1"/>
  <c r="C6" i="1"/>
  <c r="C78" i="1"/>
  <c r="C18" i="1"/>
  <c r="C49" i="1"/>
  <c r="C35" i="1"/>
  <c r="C8" i="1"/>
  <c r="C36" i="1"/>
  <c r="C33" i="1"/>
  <c r="C75" i="1"/>
  <c r="C40" i="1"/>
  <c r="C16" i="1"/>
  <c r="C25" i="1"/>
  <c r="AI4" i="1"/>
  <c r="AG4" i="1"/>
  <c r="AI7" i="1"/>
  <c r="AG7" i="1"/>
  <c r="AI9" i="1"/>
  <c r="AG9" i="1"/>
  <c r="AI10" i="1"/>
  <c r="AG10" i="1"/>
  <c r="AI11" i="1"/>
  <c r="AG11" i="1"/>
  <c r="AG14" i="1"/>
  <c r="AI14" i="1"/>
  <c r="AG15" i="1"/>
  <c r="AI15" i="1"/>
  <c r="AG20" i="1"/>
  <c r="AI20" i="1"/>
  <c r="AG21" i="1"/>
  <c r="AI21" i="1"/>
  <c r="AI22" i="1"/>
  <c r="AG22" i="1"/>
  <c r="AI23" i="1"/>
  <c r="AG23" i="1"/>
  <c r="AI24" i="1"/>
  <c r="AG24" i="1"/>
  <c r="AI26" i="1"/>
  <c r="AG26" i="1"/>
  <c r="AG27" i="1"/>
  <c r="AI27" i="1"/>
  <c r="AG28" i="1"/>
  <c r="AI28" i="1"/>
  <c r="AG29" i="1"/>
  <c r="AI29" i="1"/>
  <c r="AI30" i="1"/>
  <c r="AG30" i="1"/>
  <c r="AI31" i="1"/>
  <c r="AG31" i="1"/>
  <c r="AI34" i="1"/>
  <c r="AG34" i="1"/>
  <c r="AG37" i="1"/>
  <c r="AI37" i="1"/>
  <c r="AI39" i="1"/>
  <c r="AG39" i="1"/>
  <c r="AI42" i="1"/>
  <c r="AG42" i="1"/>
  <c r="AI45" i="1"/>
  <c r="AG45" i="1"/>
  <c r="AG46" i="1"/>
  <c r="AI46" i="1"/>
  <c r="AI47" i="1"/>
  <c r="AG47" i="1"/>
  <c r="AI48" i="1"/>
  <c r="AG48" i="1"/>
  <c r="AG50" i="1"/>
  <c r="AI50" i="1"/>
  <c r="AG51" i="1"/>
  <c r="AI51" i="1"/>
  <c r="AI54" i="1"/>
  <c r="AG54" i="1"/>
  <c r="AG55" i="1"/>
  <c r="AI55" i="1"/>
  <c r="AG56" i="1"/>
  <c r="AI56" i="1"/>
  <c r="AI57" i="1"/>
  <c r="AG57" i="1"/>
  <c r="AI58" i="1"/>
  <c r="AG58" i="1"/>
  <c r="AI59" i="1"/>
  <c r="AG59" i="1"/>
  <c r="AG61" i="1"/>
  <c r="AI61" i="1"/>
  <c r="AI62" i="1"/>
  <c r="AG62" i="1"/>
  <c r="AI63" i="1"/>
  <c r="AG63" i="1"/>
  <c r="AG64" i="1"/>
  <c r="AI64" i="1"/>
  <c r="AG65" i="1"/>
  <c r="AI65" i="1"/>
  <c r="AI68" i="1"/>
  <c r="AG68" i="1"/>
  <c r="AG69" i="1"/>
  <c r="AI69" i="1"/>
  <c r="AI72" i="1"/>
  <c r="AG72" i="1"/>
  <c r="AG74" i="1"/>
  <c r="AI74" i="1"/>
  <c r="AI76" i="1"/>
  <c r="AG76" i="1"/>
  <c r="AI79" i="1"/>
  <c r="AG79" i="1"/>
  <c r="AI80" i="1"/>
  <c r="AG80" i="1"/>
  <c r="AI81" i="1"/>
  <c r="AG81" i="1"/>
  <c r="AG82" i="1"/>
  <c r="AI82" i="1"/>
  <c r="AI83" i="1"/>
  <c r="AG83" i="1"/>
  <c r="AI85" i="1"/>
  <c r="AG85" i="1"/>
  <c r="AI84" i="1"/>
  <c r="AG84" i="1"/>
  <c r="AG70" i="1"/>
  <c r="AI70" i="1"/>
  <c r="AI44" i="1"/>
  <c r="AG44" i="1"/>
  <c r="AI38" i="1"/>
  <c r="AG38" i="1"/>
  <c r="AI71" i="1"/>
  <c r="AG71" i="1"/>
  <c r="AI66" i="1"/>
  <c r="AG66" i="1"/>
  <c r="AI52" i="1"/>
  <c r="AG52" i="1"/>
  <c r="AI53" i="1"/>
  <c r="AG53" i="1"/>
  <c r="AG5" i="1"/>
  <c r="AI5" i="1"/>
  <c r="AG19" i="1"/>
  <c r="AI19" i="1"/>
  <c r="AI13" i="1"/>
  <c r="AG13" i="1"/>
  <c r="AI17" i="1"/>
  <c r="AG17" i="1"/>
  <c r="AG32" i="1"/>
  <c r="AI32" i="1"/>
  <c r="AI12" i="1"/>
  <c r="AG12" i="1"/>
  <c r="AI73" i="1"/>
  <c r="AG73" i="1"/>
  <c r="AI43" i="1"/>
  <c r="AG43" i="1"/>
  <c r="AG60" i="1"/>
  <c r="AI60" i="1"/>
  <c r="AG41" i="1"/>
  <c r="AI41" i="1"/>
  <c r="AI6" i="1"/>
  <c r="AG6" i="1"/>
  <c r="AG78" i="1"/>
  <c r="AI78" i="1"/>
  <c r="AI18" i="1"/>
  <c r="AG18" i="1"/>
  <c r="AI49" i="1"/>
  <c r="AG49" i="1"/>
  <c r="AG35" i="1"/>
  <c r="AI35" i="1"/>
  <c r="AI77" i="1"/>
  <c r="AG77" i="1"/>
  <c r="AI8" i="1"/>
  <c r="AG8" i="1"/>
  <c r="AG36" i="1"/>
  <c r="AI36" i="1"/>
  <c r="AI33" i="1"/>
  <c r="AG33" i="1"/>
  <c r="AI75" i="1"/>
  <c r="AG75" i="1"/>
  <c r="AI40" i="1"/>
  <c r="AG40" i="1"/>
  <c r="AG16" i="1"/>
  <c r="AI16" i="1"/>
  <c r="AI25" i="1"/>
  <c r="AG25" i="1"/>
  <c r="AK82" i="1" l="1"/>
  <c r="AK61" i="1"/>
  <c r="AK40" i="1"/>
  <c r="AK32" i="1"/>
  <c r="AK39" i="1"/>
  <c r="AK34" i="1"/>
  <c r="AK15" i="1"/>
  <c r="AK6" i="1"/>
  <c r="AK20" i="1"/>
  <c r="AK16" i="1"/>
  <c r="AK38" i="1"/>
  <c r="AK14" i="1"/>
  <c r="AK73" i="1"/>
  <c r="AK42" i="1"/>
  <c r="AK54" i="1"/>
  <c r="AK50" i="1"/>
  <c r="AK30" i="1"/>
  <c r="AK68" i="1"/>
  <c r="AK64" i="1"/>
  <c r="AK26" i="1"/>
  <c r="AK75" i="1"/>
  <c r="AK36" i="1"/>
  <c r="AK41" i="1"/>
  <c r="AK43" i="1"/>
  <c r="AK72" i="1"/>
  <c r="AK74" i="1"/>
  <c r="AK56" i="1"/>
  <c r="AK31" i="1"/>
  <c r="AK35" i="1"/>
  <c r="AK47" i="1"/>
  <c r="AK49" i="1"/>
  <c r="AK78" i="1"/>
  <c r="AK52" i="1"/>
  <c r="AK71" i="1"/>
  <c r="AK83" i="1"/>
  <c r="AK81" i="1"/>
  <c r="AK79" i="1"/>
  <c r="AK57" i="1"/>
  <c r="AK55" i="1"/>
  <c r="AK51" i="1"/>
  <c r="AK46" i="1"/>
  <c r="AK28" i="1"/>
  <c r="AK24" i="1"/>
  <c r="AK8" i="1"/>
  <c r="AK60" i="1"/>
  <c r="AK17" i="1"/>
  <c r="AK66" i="1"/>
  <c r="AK70" i="1"/>
  <c r="AK80" i="1"/>
  <c r="AK37" i="1"/>
  <c r="AK27" i="1"/>
  <c r="AK23" i="1"/>
  <c r="AK11" i="1"/>
  <c r="AK9" i="1"/>
  <c r="AK4" i="1"/>
  <c r="AK33" i="1"/>
  <c r="AK77" i="1"/>
  <c r="AK25" i="1"/>
  <c r="AK18" i="1"/>
  <c r="AK19" i="1"/>
  <c r="AK22" i="1"/>
  <c r="AK63" i="1"/>
  <c r="AK59" i="1"/>
  <c r="AK45" i="1"/>
  <c r="AK10" i="1"/>
  <c r="AK65" i="1"/>
  <c r="AK21" i="1"/>
  <c r="AK84" i="1"/>
  <c r="AK85" i="1"/>
  <c r="AK76" i="1"/>
  <c r="AK29" i="1"/>
  <c r="AK69" i="1"/>
  <c r="AK13" i="1"/>
  <c r="AK44" i="1"/>
  <c r="AK48" i="1"/>
  <c r="AK53" i="1"/>
  <c r="AK7" i="1"/>
  <c r="AK12" i="1"/>
  <c r="AK5" i="1"/>
  <c r="AK62" i="1"/>
  <c r="AK58" i="1"/>
  <c r="T3" i="15" l="1"/>
  <c r="T4" i="15" s="1"/>
  <c r="T5" i="15" s="1"/>
  <c r="A15" i="15" l="1"/>
  <c r="P2" i="1"/>
  <c r="O2" i="1"/>
  <c r="N2" i="1"/>
  <c r="M2" i="1"/>
  <c r="B10" i="15"/>
  <c r="B9" i="15"/>
  <c r="P9" i="15" s="1"/>
  <c r="B8" i="15"/>
  <c r="E10" i="15"/>
  <c r="E9" i="15"/>
  <c r="Q9" i="15" s="1"/>
  <c r="E8" i="15"/>
  <c r="E11" i="15"/>
  <c r="B11" i="15"/>
  <c r="T25" i="17" l="1"/>
  <c r="AA26" i="17" l="1"/>
  <c r="Z26" i="17"/>
  <c r="Y26" i="17"/>
  <c r="X26" i="17"/>
  <c r="W26" i="17"/>
  <c r="V26" i="17"/>
  <c r="U26" i="17"/>
  <c r="T26" i="17"/>
  <c r="AA25" i="17"/>
  <c r="AA24" i="17"/>
  <c r="Z25" i="17"/>
  <c r="Z24" i="17"/>
  <c r="Y25" i="17"/>
  <c r="Y24" i="17"/>
  <c r="X25" i="17"/>
  <c r="X24" i="17"/>
  <c r="W25" i="17"/>
  <c r="V25" i="17"/>
  <c r="V24" i="17"/>
  <c r="U25" i="17"/>
  <c r="U24" i="17"/>
  <c r="T24" i="17"/>
  <c r="Y22" i="17"/>
  <c r="V23" i="17"/>
  <c r="V22" i="17"/>
  <c r="V21" i="17"/>
  <c r="T23" i="17"/>
  <c r="AF93" i="1" l="1"/>
  <c r="AF90" i="1"/>
  <c r="AF94" i="1"/>
  <c r="AF86" i="1"/>
  <c r="AF92" i="1"/>
  <c r="AF91" i="1"/>
  <c r="AF88" i="1"/>
  <c r="AF87" i="1"/>
  <c r="AF7" i="1"/>
  <c r="AF31" i="1"/>
  <c r="AF42" i="1"/>
  <c r="AF46" i="1"/>
  <c r="AF56" i="1"/>
  <c r="AF61" i="1"/>
  <c r="AF65" i="1"/>
  <c r="AF68" i="1"/>
  <c r="AF82" i="1"/>
  <c r="AF66" i="1"/>
  <c r="AF19" i="1"/>
  <c r="AF4" i="1"/>
  <c r="AF9" i="1"/>
  <c r="AF10" i="1"/>
  <c r="AF15" i="1"/>
  <c r="AF24" i="1"/>
  <c r="AF28" i="1"/>
  <c r="AF39" i="1"/>
  <c r="AF45" i="1"/>
  <c r="AF48" i="1"/>
  <c r="AF50" i="1"/>
  <c r="AF54" i="1"/>
  <c r="AF55" i="1"/>
  <c r="AF59" i="1"/>
  <c r="AF62" i="1"/>
  <c r="AF63" i="1"/>
  <c r="AF64" i="1"/>
  <c r="AF80" i="1"/>
  <c r="AF71" i="1"/>
  <c r="AF14" i="1"/>
  <c r="AF20" i="1"/>
  <c r="AF27" i="1"/>
  <c r="AF29" i="1"/>
  <c r="AF37" i="1"/>
  <c r="AF58" i="1"/>
  <c r="AF72" i="1"/>
  <c r="AF76" i="1"/>
  <c r="AF81" i="1"/>
  <c r="AF84" i="1"/>
  <c r="AF70" i="1"/>
  <c r="AF11" i="1"/>
  <c r="AF21" i="1"/>
  <c r="AF22" i="1"/>
  <c r="AF23" i="1"/>
  <c r="AF26" i="1"/>
  <c r="AF30" i="1"/>
  <c r="AF34" i="1"/>
  <c r="AF47" i="1"/>
  <c r="AF51" i="1"/>
  <c r="AF57" i="1"/>
  <c r="AF69" i="1"/>
  <c r="AF74" i="1"/>
  <c r="AF79" i="1"/>
  <c r="AF83" i="1"/>
  <c r="AF85" i="1"/>
  <c r="AF44" i="1"/>
  <c r="AF38" i="1"/>
  <c r="AF52" i="1"/>
  <c r="AF5" i="1"/>
  <c r="AF13" i="1"/>
  <c r="AF43" i="1"/>
  <c r="AF41" i="1"/>
  <c r="AF53" i="1"/>
  <c r="AF17" i="1"/>
  <c r="AF12" i="1"/>
  <c r="AF78" i="1"/>
  <c r="AF33" i="1"/>
  <c r="AF40" i="1"/>
  <c r="AF16" i="1"/>
  <c r="AF32" i="1"/>
  <c r="AF60" i="1"/>
  <c r="AF18" i="1"/>
  <c r="AF35" i="1"/>
  <c r="AF77" i="1"/>
  <c r="AF8" i="1"/>
  <c r="AF73" i="1"/>
  <c r="AF6" i="1"/>
  <c r="AF49" i="1"/>
  <c r="AF36" i="1"/>
  <c r="AF75" i="1"/>
  <c r="AF25" i="1"/>
  <c r="V19" i="17"/>
  <c r="V20" i="17" s="1"/>
  <c r="T10" i="17"/>
  <c r="U8" i="17"/>
  <c r="U9" i="17"/>
  <c r="U7" i="17"/>
  <c r="T7" i="17"/>
  <c r="U10" i="17"/>
  <c r="T8" i="17"/>
  <c r="T9" i="17"/>
  <c r="J44" i="17"/>
  <c r="G43" i="17"/>
  <c r="J45" i="17"/>
  <c r="I44" i="17"/>
  <c r="H43" i="17"/>
  <c r="H44" i="17"/>
  <c r="I43" i="17"/>
  <c r="G44" i="17"/>
  <c r="J43" i="17"/>
  <c r="Q2" i="1"/>
  <c r="H2" i="1"/>
  <c r="AJ94" i="1" l="1"/>
  <c r="AH94" i="1"/>
  <c r="AL94" i="1" s="1"/>
  <c r="AH90" i="1"/>
  <c r="AJ90" i="1"/>
  <c r="AJ93" i="1"/>
  <c r="AH93" i="1"/>
  <c r="AH88" i="1"/>
  <c r="AJ88" i="1"/>
  <c r="AJ91" i="1"/>
  <c r="AH91" i="1"/>
  <c r="AJ92" i="1"/>
  <c r="AH92" i="1"/>
  <c r="AJ87" i="1"/>
  <c r="AH87" i="1"/>
  <c r="AH86" i="1"/>
  <c r="AJ86" i="1"/>
  <c r="AH49" i="1"/>
  <c r="AJ49" i="1"/>
  <c r="AH77" i="1"/>
  <c r="AJ77" i="1"/>
  <c r="AJ32" i="1"/>
  <c r="AH32" i="1"/>
  <c r="AH78" i="1"/>
  <c r="AJ78" i="1"/>
  <c r="AH53" i="1"/>
  <c r="AJ53" i="1"/>
  <c r="AH5" i="1"/>
  <c r="AJ5" i="1"/>
  <c r="AH85" i="1"/>
  <c r="AJ85" i="1"/>
  <c r="AJ69" i="1"/>
  <c r="AH69" i="1"/>
  <c r="AH34" i="1"/>
  <c r="AJ34" i="1"/>
  <c r="AH22" i="1"/>
  <c r="AJ22" i="1"/>
  <c r="AJ84" i="1"/>
  <c r="AH84" i="1"/>
  <c r="AH58" i="1"/>
  <c r="AJ58" i="1"/>
  <c r="AJ20" i="1"/>
  <c r="AH20" i="1"/>
  <c r="AJ64" i="1"/>
  <c r="AH64" i="1"/>
  <c r="AJ55" i="1"/>
  <c r="AH55" i="1"/>
  <c r="AH45" i="1"/>
  <c r="AJ45" i="1"/>
  <c r="AJ15" i="1"/>
  <c r="AH15" i="1"/>
  <c r="AJ68" i="1"/>
  <c r="AH68" i="1"/>
  <c r="AH46" i="1"/>
  <c r="AJ46" i="1"/>
  <c r="AH25" i="1"/>
  <c r="AJ25" i="1"/>
  <c r="AH6" i="1"/>
  <c r="AJ6" i="1"/>
  <c r="AJ35" i="1"/>
  <c r="AH35" i="1"/>
  <c r="AJ16" i="1"/>
  <c r="AH16" i="1"/>
  <c r="AH41" i="1"/>
  <c r="AJ41" i="1"/>
  <c r="AJ52" i="1"/>
  <c r="AH52" i="1"/>
  <c r="AJ83" i="1"/>
  <c r="AH83" i="1"/>
  <c r="AH57" i="1"/>
  <c r="AJ57" i="1"/>
  <c r="AH30" i="1"/>
  <c r="AJ30" i="1"/>
  <c r="AH21" i="1"/>
  <c r="AJ21" i="1"/>
  <c r="AJ81" i="1"/>
  <c r="AH81" i="1"/>
  <c r="AH37" i="1"/>
  <c r="AJ37" i="1"/>
  <c r="AH14" i="1"/>
  <c r="AJ14" i="1"/>
  <c r="AJ63" i="1"/>
  <c r="AH63" i="1"/>
  <c r="AJ54" i="1"/>
  <c r="AH54" i="1"/>
  <c r="AJ39" i="1"/>
  <c r="AH39" i="1"/>
  <c r="AJ10" i="1"/>
  <c r="AH10" i="1"/>
  <c r="AJ19" i="1"/>
  <c r="AH19" i="1"/>
  <c r="AJ65" i="1"/>
  <c r="AH65" i="1"/>
  <c r="AH42" i="1"/>
  <c r="AJ42" i="1"/>
  <c r="AJ75" i="1"/>
  <c r="AH75" i="1"/>
  <c r="AJ73" i="1"/>
  <c r="AH73" i="1"/>
  <c r="AH18" i="1"/>
  <c r="AJ18" i="1"/>
  <c r="AJ40" i="1"/>
  <c r="AH40" i="1"/>
  <c r="AJ12" i="1"/>
  <c r="AH12" i="1"/>
  <c r="AJ43" i="1"/>
  <c r="AH43" i="1"/>
  <c r="AH38" i="1"/>
  <c r="AJ38" i="1"/>
  <c r="AJ79" i="1"/>
  <c r="AH79" i="1"/>
  <c r="AJ51" i="1"/>
  <c r="AH51" i="1"/>
  <c r="AH26" i="1"/>
  <c r="AJ26" i="1"/>
  <c r="AJ11" i="1"/>
  <c r="AH11" i="1"/>
  <c r="AJ76" i="1"/>
  <c r="AH76" i="1"/>
  <c r="AH29" i="1"/>
  <c r="AJ29" i="1"/>
  <c r="AJ71" i="1"/>
  <c r="AH71" i="1"/>
  <c r="AH62" i="1"/>
  <c r="AJ62" i="1"/>
  <c r="AJ50" i="1"/>
  <c r="AH50" i="1"/>
  <c r="AJ28" i="1"/>
  <c r="AH28" i="1"/>
  <c r="AH9" i="1"/>
  <c r="AJ9" i="1"/>
  <c r="AH66" i="1"/>
  <c r="AJ66" i="1"/>
  <c r="AH61" i="1"/>
  <c r="AJ61" i="1"/>
  <c r="AJ31" i="1"/>
  <c r="AH31" i="1"/>
  <c r="AJ36" i="1"/>
  <c r="AH36" i="1"/>
  <c r="AJ8" i="1"/>
  <c r="AH8" i="1"/>
  <c r="AJ60" i="1"/>
  <c r="AH60" i="1"/>
  <c r="AH33" i="1"/>
  <c r="AJ33" i="1"/>
  <c r="AH17" i="1"/>
  <c r="AJ17" i="1"/>
  <c r="AH13" i="1"/>
  <c r="AJ13" i="1"/>
  <c r="AJ44" i="1"/>
  <c r="AH44" i="1"/>
  <c r="AJ74" i="1"/>
  <c r="AH74" i="1"/>
  <c r="AJ47" i="1"/>
  <c r="AH47" i="1"/>
  <c r="AJ23" i="1"/>
  <c r="AH23" i="1"/>
  <c r="AH70" i="1"/>
  <c r="AJ70" i="1"/>
  <c r="AJ72" i="1"/>
  <c r="AH72" i="1"/>
  <c r="AJ27" i="1"/>
  <c r="AH27" i="1"/>
  <c r="AJ80" i="1"/>
  <c r="AH80" i="1"/>
  <c r="AJ59" i="1"/>
  <c r="AH59" i="1"/>
  <c r="AJ48" i="1"/>
  <c r="AH48" i="1"/>
  <c r="AJ24" i="1"/>
  <c r="AH24" i="1"/>
  <c r="AJ4" i="1"/>
  <c r="AH4" i="1"/>
  <c r="AJ82" i="1"/>
  <c r="AH82" i="1"/>
  <c r="AJ56" i="1"/>
  <c r="AH56" i="1"/>
  <c r="AJ7" i="1"/>
  <c r="AH7" i="1"/>
  <c r="W12" i="17"/>
  <c r="W8" i="17"/>
  <c r="V12" i="17"/>
  <c r="V8" i="17"/>
  <c r="W11" i="17"/>
  <c r="W7" i="17"/>
  <c r="V11" i="17"/>
  <c r="V7" i="17"/>
  <c r="W14" i="17"/>
  <c r="W10" i="17"/>
  <c r="V14" i="17"/>
  <c r="V10" i="17"/>
  <c r="W13" i="17"/>
  <c r="W9" i="17"/>
  <c r="V13" i="17"/>
  <c r="V9" i="17"/>
  <c r="AL92" i="1" l="1"/>
  <c r="AL93" i="1"/>
  <c r="AL87" i="1"/>
  <c r="AL88" i="1"/>
  <c r="AL90" i="1"/>
  <c r="AL91" i="1"/>
  <c r="AL14" i="1"/>
  <c r="AL86" i="1"/>
  <c r="AL82" i="1"/>
  <c r="AL73" i="1"/>
  <c r="AL38" i="1"/>
  <c r="AL25" i="1"/>
  <c r="AL7" i="1"/>
  <c r="AL40" i="1"/>
  <c r="AL35" i="1"/>
  <c r="AL61" i="1"/>
  <c r="AL24" i="1"/>
  <c r="AL59" i="1"/>
  <c r="AL27" i="1"/>
  <c r="AL71" i="1"/>
  <c r="AL13" i="1"/>
  <c r="AL6" i="1"/>
  <c r="AL62" i="1"/>
  <c r="AL5" i="1"/>
  <c r="AL47" i="1"/>
  <c r="AL44" i="1"/>
  <c r="AL17" i="1"/>
  <c r="AL60" i="1"/>
  <c r="AL36" i="1"/>
  <c r="AL50" i="1"/>
  <c r="AL76" i="1"/>
  <c r="AL26" i="1"/>
  <c r="AL79" i="1"/>
  <c r="AL43" i="1"/>
  <c r="AL19" i="1"/>
  <c r="AL39" i="1"/>
  <c r="AL63" i="1"/>
  <c r="AL37" i="1"/>
  <c r="AL21" i="1"/>
  <c r="AL52" i="1"/>
  <c r="AL16" i="1"/>
  <c r="AL68" i="1"/>
  <c r="AL15" i="1"/>
  <c r="AL55" i="1"/>
  <c r="AL20" i="1"/>
  <c r="AL84" i="1"/>
  <c r="AL34" i="1"/>
  <c r="AL85" i="1"/>
  <c r="AL32" i="1"/>
  <c r="AL49" i="1"/>
  <c r="AL30" i="1"/>
  <c r="AL33" i="1"/>
  <c r="AL66" i="1"/>
  <c r="AL46" i="1"/>
  <c r="AL58" i="1"/>
  <c r="AL78" i="1"/>
  <c r="AL56" i="1"/>
  <c r="AL4" i="1"/>
  <c r="AL48" i="1"/>
  <c r="AL80" i="1"/>
  <c r="AL72" i="1"/>
  <c r="AL23" i="1"/>
  <c r="AL74" i="1"/>
  <c r="AL8" i="1"/>
  <c r="AL31" i="1"/>
  <c r="AL28" i="1"/>
  <c r="AL29" i="1"/>
  <c r="AL11" i="1"/>
  <c r="AL51" i="1"/>
  <c r="AL12" i="1"/>
  <c r="AL18" i="1"/>
  <c r="AL75" i="1"/>
  <c r="AL65" i="1"/>
  <c r="AL10" i="1"/>
  <c r="AL54" i="1"/>
  <c r="AL81" i="1"/>
  <c r="AL83" i="1"/>
  <c r="AL41" i="1"/>
  <c r="AL64" i="1"/>
  <c r="AL69" i="1"/>
  <c r="AL70" i="1"/>
  <c r="AL9" i="1"/>
  <c r="AL42" i="1"/>
  <c r="AL57" i="1"/>
  <c r="AL53" i="1"/>
  <c r="AL45" i="1"/>
  <c r="AL22" i="1"/>
  <c r="AL77" i="1"/>
  <c r="M13" i="17"/>
  <c r="M4" i="17"/>
  <c r="G31" i="17"/>
  <c r="G22" i="17"/>
  <c r="G13" i="17"/>
  <c r="G4" i="17"/>
  <c r="B2" i="17"/>
  <c r="C17" i="17"/>
  <c r="F43" i="17"/>
  <c r="E44" i="17"/>
  <c r="E43" i="17"/>
  <c r="D43" i="17"/>
  <c r="C44" i="17"/>
  <c r="C43" i="17"/>
  <c r="D44" i="17"/>
  <c r="AJ28" i="17"/>
  <c r="F44" i="17"/>
  <c r="C18" i="17" l="1"/>
  <c r="C19" i="17"/>
  <c r="C15" i="17"/>
  <c r="M22" i="17"/>
  <c r="M31" i="17"/>
  <c r="C16" i="17"/>
  <c r="C20" i="17"/>
  <c r="G45" i="17"/>
  <c r="C35" i="17"/>
  <c r="C37" i="17"/>
  <c r="H45" i="17"/>
  <c r="C36" i="17"/>
  <c r="C38" i="17"/>
  <c r="I45" i="17"/>
  <c r="F45" i="17"/>
  <c r="B15" i="15"/>
  <c r="AI28" i="17" l="1"/>
  <c r="E5" i="15"/>
  <c r="A16" i="15"/>
  <c r="Q11" i="15"/>
  <c r="P11" i="15"/>
  <c r="Q10" i="15"/>
  <c r="P10" i="15"/>
  <c r="E7" i="15"/>
  <c r="B7" i="15"/>
  <c r="E6" i="15"/>
  <c r="B6" i="15"/>
  <c r="B5" i="15"/>
  <c r="E4" i="15"/>
  <c r="Q4" i="15" s="1"/>
  <c r="B4" i="15"/>
  <c r="AC90" i="1" l="1"/>
  <c r="AC93" i="1"/>
  <c r="AC94" i="1"/>
  <c r="AC91" i="1"/>
  <c r="AC88" i="1"/>
  <c r="AC86" i="1"/>
  <c r="AC92" i="1"/>
  <c r="AC87" i="1"/>
  <c r="AC14" i="1"/>
  <c r="AC15" i="1"/>
  <c r="AC21" i="1"/>
  <c r="AC22" i="1"/>
  <c r="AC26" i="1"/>
  <c r="AC27" i="1"/>
  <c r="AC28" i="1"/>
  <c r="AC30" i="1"/>
  <c r="AC45" i="1"/>
  <c r="AC47" i="1"/>
  <c r="AC50" i="1"/>
  <c r="AC57" i="1"/>
  <c r="AC58" i="1"/>
  <c r="AC59" i="1"/>
  <c r="AC68" i="1"/>
  <c r="AC72" i="1"/>
  <c r="AC81" i="1"/>
  <c r="AC82" i="1"/>
  <c r="AC83" i="1"/>
  <c r="AC84" i="1"/>
  <c r="AC38" i="1"/>
  <c r="AC52" i="1"/>
  <c r="AC10" i="1"/>
  <c r="AC11" i="1"/>
  <c r="AC20" i="1"/>
  <c r="AC37" i="1"/>
  <c r="AC42" i="1"/>
  <c r="AC51" i="1"/>
  <c r="AC63" i="1"/>
  <c r="AC64" i="1"/>
  <c r="AC79" i="1"/>
  <c r="AC70" i="1"/>
  <c r="AC7" i="1"/>
  <c r="AC23" i="1"/>
  <c r="AC24" i="1"/>
  <c r="AC34" i="1"/>
  <c r="AC46" i="1"/>
  <c r="AC48" i="1"/>
  <c r="AC61" i="1"/>
  <c r="AC62" i="1"/>
  <c r="AC65" i="1"/>
  <c r="AC69" i="1"/>
  <c r="AC80" i="1"/>
  <c r="AC85" i="1"/>
  <c r="AC71" i="1"/>
  <c r="AC4" i="1"/>
  <c r="AC9" i="1"/>
  <c r="AC29" i="1"/>
  <c r="AC31" i="1"/>
  <c r="AC39" i="1"/>
  <c r="AC54" i="1"/>
  <c r="AC55" i="1"/>
  <c r="AC56" i="1"/>
  <c r="AC74" i="1"/>
  <c r="AC76" i="1"/>
  <c r="AC44" i="1"/>
  <c r="AC5" i="1"/>
  <c r="AC17" i="1"/>
  <c r="AC32" i="1"/>
  <c r="AC12" i="1"/>
  <c r="AC6" i="1"/>
  <c r="AC13" i="1"/>
  <c r="AC73" i="1"/>
  <c r="AC43" i="1"/>
  <c r="AC35" i="1"/>
  <c r="AC36" i="1"/>
  <c r="AC75" i="1"/>
  <c r="AC25" i="1"/>
  <c r="AC66" i="1"/>
  <c r="AC53" i="1"/>
  <c r="AC19" i="1"/>
  <c r="AC60" i="1"/>
  <c r="AC41" i="1"/>
  <c r="AC49" i="1"/>
  <c r="AC77" i="1"/>
  <c r="AC78" i="1"/>
  <c r="AC18" i="1"/>
  <c r="AC8" i="1"/>
  <c r="AC33" i="1"/>
  <c r="AC40" i="1"/>
  <c r="AC16" i="1"/>
  <c r="P8" i="15"/>
  <c r="Q7" i="15"/>
  <c r="P5" i="15"/>
  <c r="P7" i="15"/>
  <c r="Q5" i="15"/>
  <c r="Q8" i="15"/>
  <c r="Q6" i="15"/>
  <c r="P4" i="15"/>
  <c r="P6" i="15"/>
  <c r="B16" i="15"/>
  <c r="A17" i="15"/>
  <c r="B17" i="15" s="1"/>
  <c r="T93" i="1" l="1"/>
  <c r="T90" i="1"/>
  <c r="V90" i="1" s="1"/>
  <c r="T94" i="1"/>
  <c r="U94" i="1"/>
  <c r="U90" i="1"/>
  <c r="U93" i="1"/>
  <c r="T91" i="1"/>
  <c r="V91" i="1" s="1"/>
  <c r="T87" i="1"/>
  <c r="V87" i="1" s="1"/>
  <c r="T86" i="1"/>
  <c r="V86" i="1" s="1"/>
  <c r="T88" i="1"/>
  <c r="V88" i="1" s="1"/>
  <c r="U86" i="1"/>
  <c r="T92" i="1"/>
  <c r="V92" i="1" s="1"/>
  <c r="U91" i="1"/>
  <c r="U92" i="1"/>
  <c r="U88" i="1"/>
  <c r="U87" i="1"/>
  <c r="U54" i="1"/>
  <c r="U61" i="1"/>
  <c r="U81" i="1"/>
  <c r="T82" i="1"/>
  <c r="V82" i="1" s="1"/>
  <c r="T73" i="1"/>
  <c r="V73" i="1" s="1"/>
  <c r="T16" i="1"/>
  <c r="U4" i="1"/>
  <c r="T54" i="1"/>
  <c r="V54" i="1" s="1"/>
  <c r="T74" i="1"/>
  <c r="V74" i="1" s="1"/>
  <c r="T81" i="1"/>
  <c r="V81" i="1" s="1"/>
  <c r="U60" i="1"/>
  <c r="T4" i="1"/>
  <c r="U64" i="1"/>
  <c r="U74" i="1"/>
  <c r="T32" i="1"/>
  <c r="V32" i="1" s="1"/>
  <c r="U73" i="1"/>
  <c r="U40" i="1"/>
  <c r="U16" i="1"/>
  <c r="T61" i="1"/>
  <c r="V61" i="1" s="1"/>
  <c r="T64" i="1"/>
  <c r="V64" i="1" s="1"/>
  <c r="U82" i="1"/>
  <c r="U32" i="1"/>
  <c r="T60" i="1"/>
  <c r="V60" i="1" s="1"/>
  <c r="T40" i="1"/>
  <c r="V40" i="1" s="1"/>
  <c r="U62" i="1"/>
  <c r="U52" i="1"/>
  <c r="T78" i="1"/>
  <c r="V78" i="1" s="1"/>
  <c r="T70" i="1"/>
  <c r="T66" i="1"/>
  <c r="T62" i="1"/>
  <c r="T58" i="1"/>
  <c r="T50" i="1"/>
  <c r="T46" i="1"/>
  <c r="T42" i="1"/>
  <c r="T38" i="1"/>
  <c r="V38" i="1" s="1"/>
  <c r="T34" i="1"/>
  <c r="T30" i="1"/>
  <c r="V30" i="1" s="1"/>
  <c r="T26" i="1"/>
  <c r="T22" i="1"/>
  <c r="T18" i="1"/>
  <c r="T14" i="1"/>
  <c r="T10" i="1"/>
  <c r="T6" i="1"/>
  <c r="U77" i="1"/>
  <c r="U57" i="1"/>
  <c r="U51" i="1"/>
  <c r="U37" i="1"/>
  <c r="U21" i="1"/>
  <c r="U15" i="1"/>
  <c r="T85" i="1"/>
  <c r="V85" i="1" s="1"/>
  <c r="T77" i="1"/>
  <c r="T69" i="1"/>
  <c r="T65" i="1"/>
  <c r="V65" i="1" s="1"/>
  <c r="T57" i="1"/>
  <c r="T53" i="1"/>
  <c r="V53" i="1" s="1"/>
  <c r="T49" i="1"/>
  <c r="T45" i="1"/>
  <c r="T41" i="1"/>
  <c r="V41" i="1" s="1"/>
  <c r="T37" i="1"/>
  <c r="T33" i="1"/>
  <c r="T29" i="1"/>
  <c r="T25" i="1"/>
  <c r="T21" i="1"/>
  <c r="T17" i="1"/>
  <c r="T13" i="1"/>
  <c r="T9" i="1"/>
  <c r="T5" i="1"/>
  <c r="U75" i="1"/>
  <c r="U42" i="1"/>
  <c r="U34" i="1"/>
  <c r="U19" i="1"/>
  <c r="U12" i="1"/>
  <c r="T84" i="1"/>
  <c r="T80" i="1"/>
  <c r="T76" i="1"/>
  <c r="T72" i="1"/>
  <c r="T68" i="1"/>
  <c r="V68" i="1" s="1"/>
  <c r="T56" i="1"/>
  <c r="T52" i="1"/>
  <c r="T48" i="1"/>
  <c r="V48" i="1" s="1"/>
  <c r="T44" i="1"/>
  <c r="T36" i="1"/>
  <c r="T28" i="1"/>
  <c r="T24" i="1"/>
  <c r="T20" i="1"/>
  <c r="T12" i="1"/>
  <c r="T8" i="1"/>
  <c r="U71" i="1"/>
  <c r="T83" i="1"/>
  <c r="T79" i="1"/>
  <c r="T75" i="1"/>
  <c r="T71" i="1"/>
  <c r="T63" i="1"/>
  <c r="T59" i="1"/>
  <c r="T55" i="1"/>
  <c r="T51" i="1"/>
  <c r="T47" i="1"/>
  <c r="T43" i="1"/>
  <c r="T39" i="1"/>
  <c r="T35" i="1"/>
  <c r="T31" i="1"/>
  <c r="V31" i="1" s="1"/>
  <c r="T27" i="1"/>
  <c r="T23" i="1"/>
  <c r="T19" i="1"/>
  <c r="T15" i="1"/>
  <c r="T11" i="1"/>
  <c r="T7" i="1"/>
  <c r="U45" i="1"/>
  <c r="U27" i="1"/>
  <c r="U83" i="1"/>
  <c r="U63" i="1"/>
  <c r="U49" i="1"/>
  <c r="U33" i="1"/>
  <c r="U11" i="1"/>
  <c r="U28" i="1"/>
  <c r="U10" i="1"/>
  <c r="U76" i="1"/>
  <c r="U66" i="1"/>
  <c r="U46" i="1"/>
  <c r="U26" i="1"/>
  <c r="U6" i="1"/>
  <c r="U39" i="1"/>
  <c r="U23" i="1"/>
  <c r="U79" i="1"/>
  <c r="U59" i="1"/>
  <c r="U47" i="1"/>
  <c r="U29" i="1"/>
  <c r="U9" i="1"/>
  <c r="U24" i="1"/>
  <c r="U84" i="1"/>
  <c r="U72" i="1"/>
  <c r="U58" i="1"/>
  <c r="U44" i="1"/>
  <c r="U22" i="1"/>
  <c r="U7" i="1"/>
  <c r="U35" i="1"/>
  <c r="U13" i="1"/>
  <c r="U69" i="1"/>
  <c r="U55" i="1"/>
  <c r="U43" i="1"/>
  <c r="U25" i="1"/>
  <c r="U50" i="1"/>
  <c r="U20" i="1"/>
  <c r="U80" i="1"/>
  <c r="U70" i="1"/>
  <c r="U56" i="1"/>
  <c r="U36" i="1"/>
  <c r="U18" i="1"/>
  <c r="U5" i="1"/>
  <c r="U31" i="1"/>
  <c r="U85" i="1"/>
  <c r="U65" i="1"/>
  <c r="U53" i="1"/>
  <c r="U41" i="1"/>
  <c r="U17" i="1"/>
  <c r="U38" i="1"/>
  <c r="U14" i="1"/>
  <c r="U78" i="1"/>
  <c r="U68" i="1"/>
  <c r="U48" i="1"/>
  <c r="U30" i="1"/>
  <c r="U8" i="1"/>
  <c r="U3" i="1"/>
  <c r="A18" i="15"/>
  <c r="B18" i="15" s="1"/>
  <c r="S2" i="1"/>
  <c r="R2" i="1"/>
  <c r="C3" i="1" s="1"/>
  <c r="K2" i="1"/>
  <c r="J2" i="1"/>
  <c r="I2" i="1"/>
  <c r="V17" i="1" l="1"/>
  <c r="AB17" i="1" s="1"/>
  <c r="V5" i="1"/>
  <c r="AB5" i="1" s="1"/>
  <c r="V16" i="1"/>
  <c r="AB16" i="1" s="1"/>
  <c r="V14" i="1"/>
  <c r="AB14" i="1" s="1"/>
  <c r="AI3" i="1"/>
  <c r="AF3" i="1"/>
  <c r="AH3" i="1" s="1"/>
  <c r="C67" i="1"/>
  <c r="C89" i="1"/>
  <c r="AI89" i="1"/>
  <c r="AF89" i="1"/>
  <c r="AJ89" i="1" s="1"/>
  <c r="U89" i="1"/>
  <c r="AB90" i="1"/>
  <c r="V94" i="1"/>
  <c r="AB94" i="1" s="1"/>
  <c r="V93" i="1"/>
  <c r="AB93" i="1" s="1"/>
  <c r="AI67" i="1"/>
  <c r="AF67" i="1"/>
  <c r="AH67" i="1" s="1"/>
  <c r="U67" i="1"/>
  <c r="AB87" i="1"/>
  <c r="AB88" i="1"/>
  <c r="AB92" i="1"/>
  <c r="AB91" i="1"/>
  <c r="AB86" i="1"/>
  <c r="C2" i="1"/>
  <c r="C95" i="1"/>
  <c r="V4" i="1"/>
  <c r="AB4" i="1" s="1"/>
  <c r="U2" i="1"/>
  <c r="V7" i="1"/>
  <c r="AB7" i="1" s="1"/>
  <c r="V23" i="1"/>
  <c r="AB23" i="1" s="1"/>
  <c r="V39" i="1"/>
  <c r="V55" i="1"/>
  <c r="V75" i="1"/>
  <c r="V8" i="1"/>
  <c r="AB8" i="1" s="1"/>
  <c r="V28" i="1"/>
  <c r="V52" i="1"/>
  <c r="V76" i="1"/>
  <c r="V21" i="1"/>
  <c r="AB21" i="1" s="1"/>
  <c r="V37" i="1"/>
  <c r="V77" i="1"/>
  <c r="V18" i="1"/>
  <c r="AB18" i="1" s="1"/>
  <c r="V34" i="1"/>
  <c r="V50" i="1"/>
  <c r="V70" i="1"/>
  <c r="V11" i="1"/>
  <c r="AB11" i="1" s="1"/>
  <c r="V27" i="1"/>
  <c r="V43" i="1"/>
  <c r="V59" i="1"/>
  <c r="V79" i="1"/>
  <c r="V12" i="1"/>
  <c r="AB12" i="1" s="1"/>
  <c r="V36" i="1"/>
  <c r="V56" i="1"/>
  <c r="V80" i="1"/>
  <c r="V9" i="1"/>
  <c r="AB9" i="1" s="1"/>
  <c r="V25" i="1"/>
  <c r="V57" i="1"/>
  <c r="V6" i="1"/>
  <c r="AB6" i="1" s="1"/>
  <c r="V22" i="1"/>
  <c r="AB22" i="1" s="1"/>
  <c r="V58" i="1"/>
  <c r="V15" i="1"/>
  <c r="AB15" i="1" s="1"/>
  <c r="V47" i="1"/>
  <c r="V63" i="1"/>
  <c r="V83" i="1"/>
  <c r="V20" i="1"/>
  <c r="AB20" i="1" s="1"/>
  <c r="V44" i="1"/>
  <c r="V84" i="1"/>
  <c r="V13" i="1"/>
  <c r="AB13" i="1" s="1"/>
  <c r="V29" i="1"/>
  <c r="V45" i="1"/>
  <c r="V10" i="1"/>
  <c r="AB10" i="1" s="1"/>
  <c r="V26" i="1"/>
  <c r="V42" i="1"/>
  <c r="V62" i="1"/>
  <c r="V19" i="1"/>
  <c r="AB19" i="1" s="1"/>
  <c r="V35" i="1"/>
  <c r="V51" i="1"/>
  <c r="V71" i="1"/>
  <c r="V24" i="1"/>
  <c r="V72" i="1"/>
  <c r="V33" i="1"/>
  <c r="V49" i="1"/>
  <c r="V69" i="1"/>
  <c r="V46" i="1"/>
  <c r="V66" i="1"/>
  <c r="U14" i="17"/>
  <c r="T14" i="17"/>
  <c r="X14" i="17" s="1"/>
  <c r="Y14" i="17" s="1"/>
  <c r="U12" i="17"/>
  <c r="T12" i="17"/>
  <c r="X12" i="17" s="1"/>
  <c r="Y12" i="17" s="1"/>
  <c r="U13" i="17"/>
  <c r="T13" i="17"/>
  <c r="X13" i="17" s="1"/>
  <c r="Y13" i="17" s="1"/>
  <c r="AI95" i="1"/>
  <c r="AF95" i="1"/>
  <c r="AH95" i="1" s="1"/>
  <c r="Z13" i="17"/>
  <c r="AA10" i="17"/>
  <c r="Z11" i="17"/>
  <c r="AA13" i="17"/>
  <c r="Z8" i="17"/>
  <c r="Z7" i="17"/>
  <c r="Z10" i="17"/>
  <c r="AA8" i="17"/>
  <c r="AA7" i="17"/>
  <c r="AA9" i="17"/>
  <c r="Z12" i="17"/>
  <c r="AA12" i="17"/>
  <c r="AA11" i="17"/>
  <c r="AA14" i="17"/>
  <c r="Z14" i="17"/>
  <c r="Z9" i="17"/>
  <c r="U13" i="15"/>
  <c r="J8" i="15" s="1"/>
  <c r="K8" i="15" s="1"/>
  <c r="AI2" i="1"/>
  <c r="AF2" i="1"/>
  <c r="AH2" i="1" s="1"/>
  <c r="A19" i="15"/>
  <c r="B19" i="15" s="1"/>
  <c r="AJ3" i="1" l="1"/>
  <c r="AH89" i="1"/>
  <c r="AJ67" i="1"/>
  <c r="B46" i="1"/>
  <c r="B93" i="1"/>
  <c r="B94" i="1"/>
  <c r="B86" i="1"/>
  <c r="B92" i="1"/>
  <c r="B89" i="1"/>
  <c r="B87" i="1"/>
  <c r="B90" i="1"/>
  <c r="B88" i="1"/>
  <c r="B91" i="1"/>
  <c r="B27" i="1"/>
  <c r="B76" i="1"/>
  <c r="B51" i="1"/>
  <c r="AJ95" i="1"/>
  <c r="J10" i="15"/>
  <c r="AD14" i="17"/>
  <c r="AD12" i="17"/>
  <c r="AD13" i="17"/>
  <c r="AJ2" i="1"/>
  <c r="AC14" i="17"/>
  <c r="AC12" i="17"/>
  <c r="AC13" i="17"/>
  <c r="A20" i="15"/>
  <c r="B20" i="15" s="1"/>
  <c r="B10" i="1"/>
  <c r="B8" i="1" l="1"/>
  <c r="B16" i="1"/>
  <c r="B80" i="1"/>
  <c r="B84" i="1"/>
  <c r="B71" i="1"/>
  <c r="B60" i="1"/>
  <c r="B32" i="1"/>
  <c r="B68" i="1"/>
  <c r="B48" i="1"/>
  <c r="B35" i="1"/>
  <c r="B85" i="1"/>
  <c r="B19" i="1"/>
  <c r="B38" i="1"/>
  <c r="B82" i="1"/>
  <c r="B9" i="1"/>
  <c r="B65" i="1"/>
  <c r="B39" i="1"/>
  <c r="B15" i="1"/>
  <c r="B61" i="1"/>
  <c r="B34" i="1"/>
  <c r="B7" i="1"/>
  <c r="B24" i="1"/>
  <c r="B83" i="1"/>
  <c r="B44" i="1"/>
  <c r="B52" i="1"/>
  <c r="B13" i="1"/>
  <c r="B73" i="1"/>
  <c r="B4" i="1"/>
  <c r="B78" i="1"/>
  <c r="B72" i="1"/>
  <c r="B40" i="1"/>
  <c r="B25" i="1"/>
  <c r="B70" i="1"/>
  <c r="B33" i="1"/>
  <c r="B5" i="1"/>
  <c r="B6" i="1"/>
  <c r="B58" i="1"/>
  <c r="B30" i="1"/>
  <c r="B79" i="1"/>
  <c r="B56" i="1"/>
  <c r="B28" i="1"/>
  <c r="B18" i="1"/>
  <c r="B29" i="1"/>
  <c r="B31" i="1"/>
  <c r="B37" i="1"/>
  <c r="B42" i="1"/>
  <c r="B41" i="1"/>
  <c r="B20" i="1"/>
  <c r="B36" i="1"/>
  <c r="B43" i="1"/>
  <c r="B49" i="1"/>
  <c r="B77" i="1"/>
  <c r="B12" i="1"/>
  <c r="B22" i="1"/>
  <c r="B81" i="1"/>
  <c r="B54" i="1"/>
  <c r="B23" i="1"/>
  <c r="B69" i="1"/>
  <c r="B50" i="1"/>
  <c r="B26" i="1"/>
  <c r="B14" i="1"/>
  <c r="B55" i="1"/>
  <c r="B57" i="1"/>
  <c r="B59" i="1"/>
  <c r="B62" i="1"/>
  <c r="B64" i="1"/>
  <c r="B75" i="1"/>
  <c r="B11" i="1"/>
  <c r="B53" i="1"/>
  <c r="B67" i="1"/>
  <c r="B17" i="1"/>
  <c r="B66" i="1"/>
  <c r="B21" i="1"/>
  <c r="B74" i="1"/>
  <c r="B47" i="1"/>
  <c r="B3" i="1"/>
  <c r="B63" i="1"/>
  <c r="B45" i="1"/>
  <c r="B2" i="1"/>
  <c r="AE14" i="17"/>
  <c r="K6" i="17" s="1"/>
  <c r="AF14" i="17"/>
  <c r="K9" i="17" s="1"/>
  <c r="AF13" i="17"/>
  <c r="K18" i="17" s="1"/>
  <c r="AE13" i="17"/>
  <c r="K15" i="17" s="1"/>
  <c r="AE12" i="17"/>
  <c r="K24" i="17" s="1"/>
  <c r="AF12" i="17"/>
  <c r="K27" i="17" s="1"/>
  <c r="A21" i="15"/>
  <c r="B21" i="15" s="1"/>
  <c r="B95" i="1"/>
  <c r="A22" i="15" l="1"/>
  <c r="B22" i="15" s="1"/>
  <c r="A23" i="15" l="1"/>
  <c r="B23" i="15" s="1"/>
  <c r="A24" i="15" l="1"/>
  <c r="B24" i="15" s="1"/>
  <c r="A25" i="15" l="1"/>
  <c r="B25" i="15" s="1"/>
  <c r="A26" i="15" l="1"/>
  <c r="B26" i="15" s="1"/>
  <c r="A27" i="15" l="1"/>
  <c r="B27" i="15" s="1"/>
  <c r="A28" i="15" l="1"/>
  <c r="B28" i="15" s="1"/>
  <c r="A29" i="15" l="1"/>
  <c r="B29" i="15" s="1"/>
  <c r="A30" i="15" l="1"/>
  <c r="B30" i="15" s="1"/>
  <c r="A31" i="15" l="1"/>
  <c r="B31" i="15" s="1"/>
  <c r="A32" i="15" l="1"/>
  <c r="B32" i="15" s="1"/>
  <c r="A33" i="15" l="1"/>
  <c r="B33" i="15" s="1"/>
  <c r="A34" i="15" l="1"/>
  <c r="B34" i="15" s="1"/>
  <c r="A35" i="15" l="1"/>
  <c r="B35" i="15" s="1"/>
  <c r="A36" i="15" l="1"/>
  <c r="B36" i="15" s="1"/>
  <c r="A37" i="15" l="1"/>
  <c r="B37" i="15" s="1"/>
  <c r="A38" i="15" l="1"/>
  <c r="B38" i="15" s="1"/>
  <c r="A39" i="15" l="1"/>
  <c r="B39" i="15" s="1"/>
  <c r="A40" i="15" l="1"/>
  <c r="B40" i="15" s="1"/>
  <c r="A41" i="15" l="1"/>
  <c r="B41" i="15" s="1"/>
  <c r="A42" i="15" l="1"/>
  <c r="B42" i="15" s="1"/>
  <c r="A43" i="15" l="1"/>
  <c r="B43" i="15" s="1"/>
  <c r="A44" i="15" l="1"/>
  <c r="B44" i="15" s="1"/>
  <c r="A45" i="15" l="1"/>
  <c r="B45" i="15" s="1"/>
  <c r="A46" i="15" l="1"/>
  <c r="B46" i="15" l="1"/>
  <c r="A47" i="15"/>
  <c r="AH21" i="17"/>
  <c r="AH20" i="17"/>
  <c r="A48" i="15" l="1"/>
  <c r="B47" i="15"/>
  <c r="AH19" i="17"/>
  <c r="A49" i="15" l="1"/>
  <c r="B48" i="15"/>
  <c r="U95" i="1"/>
  <c r="A50" i="15" l="1"/>
  <c r="B49" i="15"/>
  <c r="L2" i="1"/>
  <c r="AG95" i="1"/>
  <c r="A51" i="15" l="1"/>
  <c r="B50" i="15"/>
  <c r="T3" i="1"/>
  <c r="AC3" i="1"/>
  <c r="AG3" i="1"/>
  <c r="AC89" i="1"/>
  <c r="AG89" i="1"/>
  <c r="T89" i="1"/>
  <c r="T2" i="1"/>
  <c r="V2" i="1" s="1"/>
  <c r="AG67" i="1"/>
  <c r="AC67" i="1"/>
  <c r="T67" i="1"/>
  <c r="V67" i="1" s="1"/>
  <c r="AG2" i="1"/>
  <c r="U11" i="17"/>
  <c r="AD11" i="17" s="1"/>
  <c r="T11" i="17"/>
  <c r="AK95" i="1"/>
  <c r="AL95" i="1" s="1"/>
  <c r="AD8" i="17"/>
  <c r="AC8" i="17"/>
  <c r="AC7" i="17"/>
  <c r="AC2" i="1"/>
  <c r="AD7" i="17"/>
  <c r="X10" i="17"/>
  <c r="AD10" i="17"/>
  <c r="AC9" i="17"/>
  <c r="AC95" i="1"/>
  <c r="AB95" i="1"/>
  <c r="X95" i="1"/>
  <c r="Z95" i="1" s="1"/>
  <c r="AD9" i="17"/>
  <c r="A52" i="15" l="1"/>
  <c r="B51" i="15"/>
  <c r="AK3" i="1"/>
  <c r="AL3" i="1" s="1"/>
  <c r="V3" i="1"/>
  <c r="AB3" i="1" s="1"/>
  <c r="V89" i="1"/>
  <c r="AB89" i="1" s="1"/>
  <c r="AK89" i="1"/>
  <c r="AL89" i="1" s="1"/>
  <c r="AK67" i="1"/>
  <c r="AL67" i="1" s="1"/>
  <c r="AC10" i="17"/>
  <c r="X9" i="17"/>
  <c r="Y9" i="17" s="1"/>
  <c r="AF9" i="17" s="1"/>
  <c r="Q18" i="17" s="1"/>
  <c r="X7" i="17"/>
  <c r="AE7" i="17" s="1"/>
  <c r="Q33" i="17" s="1"/>
  <c r="X8" i="17"/>
  <c r="Y8" i="17" s="1"/>
  <c r="AF8" i="17" s="1"/>
  <c r="Q27" i="17" s="1"/>
  <c r="AE2" i="1"/>
  <c r="AC11" i="17"/>
  <c r="X11" i="17"/>
  <c r="AK2" i="1"/>
  <c r="Y10" i="17"/>
  <c r="AF10" i="17" s="1"/>
  <c r="Q9" i="17" s="1"/>
  <c r="AE10" i="17"/>
  <c r="Q6" i="17" s="1"/>
  <c r="AH18" i="17" l="1"/>
  <c r="X24" i="1"/>
  <c r="Z24" i="1" s="1"/>
  <c r="X20" i="1"/>
  <c r="Z20" i="1" s="1"/>
  <c r="X46" i="1"/>
  <c r="Z46" i="1" s="1"/>
  <c r="X58" i="1"/>
  <c r="Z58" i="1" s="1"/>
  <c r="X56" i="1"/>
  <c r="Z56" i="1" s="1"/>
  <c r="X52" i="1"/>
  <c r="Z52" i="1" s="1"/>
  <c r="X31" i="1"/>
  <c r="Z31" i="1" s="1"/>
  <c r="X59" i="1"/>
  <c r="Z59" i="1" s="1"/>
  <c r="X55" i="1"/>
  <c r="Z55" i="1" s="1"/>
  <c r="X15" i="1"/>
  <c r="Z15" i="1" s="1"/>
  <c r="A53" i="15"/>
  <c r="B52" i="15"/>
  <c r="AE9" i="17"/>
  <c r="Q15" i="17" s="1"/>
  <c r="X37" i="1"/>
  <c r="Z37" i="1" s="1"/>
  <c r="X21" i="1"/>
  <c r="Z21" i="1" s="1"/>
  <c r="X22" i="1"/>
  <c r="Z22" i="1" s="1"/>
  <c r="X42" i="1"/>
  <c r="Z42" i="1" s="1"/>
  <c r="X65" i="1"/>
  <c r="Z65" i="1" s="1"/>
  <c r="X26" i="1"/>
  <c r="Z26" i="1" s="1"/>
  <c r="X47" i="1"/>
  <c r="Z47" i="1" s="1"/>
  <c r="X94" i="1"/>
  <c r="Z94" i="1" s="1"/>
  <c r="X93" i="1"/>
  <c r="Z93" i="1" s="1"/>
  <c r="X68" i="1"/>
  <c r="Z68" i="1" s="1"/>
  <c r="X10" i="1"/>
  <c r="Z10" i="1" s="1"/>
  <c r="X86" i="1"/>
  <c r="Z86" i="1" s="1"/>
  <c r="X90" i="1"/>
  <c r="Z90" i="1" s="1"/>
  <c r="X87" i="1"/>
  <c r="Z87" i="1" s="1"/>
  <c r="X91" i="1"/>
  <c r="Z91" i="1" s="1"/>
  <c r="X88" i="1"/>
  <c r="Z88" i="1" s="1"/>
  <c r="X92" i="1"/>
  <c r="Z92" i="1" s="1"/>
  <c r="X89" i="1"/>
  <c r="Z89" i="1" s="1"/>
  <c r="X63" i="1"/>
  <c r="Z63" i="1" s="1"/>
  <c r="X27" i="1"/>
  <c r="Z27" i="1" s="1"/>
  <c r="X39" i="1"/>
  <c r="Z39" i="1" s="1"/>
  <c r="X50" i="1"/>
  <c r="Z50" i="1" s="1"/>
  <c r="X79" i="1"/>
  <c r="Z79" i="1" s="1"/>
  <c r="X57" i="1"/>
  <c r="Z57" i="1" s="1"/>
  <c r="X80" i="1"/>
  <c r="Z80" i="1" s="1"/>
  <c r="X76" i="1"/>
  <c r="Z76" i="1" s="1"/>
  <c r="X72" i="1"/>
  <c r="Z72" i="1" s="1"/>
  <c r="X84" i="1"/>
  <c r="Z84" i="1" s="1"/>
  <c r="X66" i="1"/>
  <c r="Z66" i="1" s="1"/>
  <c r="X8" i="1"/>
  <c r="Z8" i="1" s="1"/>
  <c r="X77" i="1"/>
  <c r="Z77" i="1" s="1"/>
  <c r="X49" i="1"/>
  <c r="Z49" i="1" s="1"/>
  <c r="X18" i="1"/>
  <c r="Z18" i="1" s="1"/>
  <c r="X11" i="1"/>
  <c r="Z11" i="1" s="1"/>
  <c r="X69" i="1"/>
  <c r="Z69" i="1" s="1"/>
  <c r="X12" i="1"/>
  <c r="Z12" i="1" s="1"/>
  <c r="X17" i="1"/>
  <c r="Z17" i="1" s="1"/>
  <c r="X23" i="1"/>
  <c r="Z23" i="1" s="1"/>
  <c r="X7" i="1"/>
  <c r="Z7" i="1" s="1"/>
  <c r="X9" i="1"/>
  <c r="Z9" i="1" s="1"/>
  <c r="X41" i="1"/>
  <c r="Z41" i="1" s="1"/>
  <c r="X3" i="1"/>
  <c r="Z3" i="1" s="1"/>
  <c r="X78" i="1"/>
  <c r="Z78" i="1" s="1"/>
  <c r="X29" i="1"/>
  <c r="Z29" i="1" s="1"/>
  <c r="X44" i="1"/>
  <c r="Z44" i="1" s="1"/>
  <c r="X28" i="1"/>
  <c r="Z28" i="1" s="1"/>
  <c r="X35" i="1"/>
  <c r="Z35" i="1" s="1"/>
  <c r="X6" i="1"/>
  <c r="Z6" i="1" s="1"/>
  <c r="X5" i="1"/>
  <c r="Z5" i="1" s="1"/>
  <c r="X36" i="1"/>
  <c r="Z36" i="1" s="1"/>
  <c r="X70" i="1"/>
  <c r="Z70" i="1" s="1"/>
  <c r="X45" i="1"/>
  <c r="Z45" i="1" s="1"/>
  <c r="X13" i="1"/>
  <c r="Z13" i="1" s="1"/>
  <c r="X62" i="1"/>
  <c r="Z62" i="1" s="1"/>
  <c r="X43" i="1"/>
  <c r="Z43" i="1" s="1"/>
  <c r="X83" i="1"/>
  <c r="Z83" i="1" s="1"/>
  <c r="X51" i="1"/>
  <c r="Z51" i="1" s="1"/>
  <c r="X48" i="1"/>
  <c r="Z48" i="1" s="1"/>
  <c r="X71" i="1"/>
  <c r="Z71" i="1" s="1"/>
  <c r="X75" i="1"/>
  <c r="Z75" i="1" s="1"/>
  <c r="X19" i="1"/>
  <c r="Z19" i="1" s="1"/>
  <c r="X85" i="1"/>
  <c r="Z85" i="1" s="1"/>
  <c r="X53" i="1"/>
  <c r="Z53" i="1" s="1"/>
  <c r="X38" i="1"/>
  <c r="Z38" i="1" s="1"/>
  <c r="X14" i="1"/>
  <c r="Z14" i="1" s="1"/>
  <c r="X30" i="1"/>
  <c r="Z30" i="1" s="1"/>
  <c r="X34" i="1"/>
  <c r="Z34" i="1" s="1"/>
  <c r="X25" i="1"/>
  <c r="Z25" i="1" s="1"/>
  <c r="X33" i="1"/>
  <c r="Z33" i="1" s="1"/>
  <c r="X82" i="1"/>
  <c r="Z82" i="1" s="1"/>
  <c r="X74" i="1"/>
  <c r="Z74" i="1" s="1"/>
  <c r="X54" i="1"/>
  <c r="Z54" i="1" s="1"/>
  <c r="X81" i="1"/>
  <c r="Z81" i="1" s="1"/>
  <c r="X73" i="1"/>
  <c r="Z73" i="1" s="1"/>
  <c r="X61" i="1"/>
  <c r="Z61" i="1" s="1"/>
  <c r="X64" i="1"/>
  <c r="Z64" i="1" s="1"/>
  <c r="X60" i="1"/>
  <c r="Z60" i="1" s="1"/>
  <c r="X67" i="1"/>
  <c r="Z67" i="1" s="1"/>
  <c r="X32" i="1"/>
  <c r="Z32" i="1" s="1"/>
  <c r="X40" i="1"/>
  <c r="Z40" i="1" s="1"/>
  <c r="X16" i="1"/>
  <c r="Z16" i="1" s="1"/>
  <c r="X4" i="1"/>
  <c r="Z4" i="1" s="1"/>
  <c r="AE8" i="17"/>
  <c r="Q24" i="17" s="1"/>
  <c r="Y7" i="17"/>
  <c r="AF7" i="17" s="1"/>
  <c r="Q36" i="17" s="1"/>
  <c r="X2" i="1"/>
  <c r="Z2" i="1" s="1"/>
  <c r="AL2" i="1"/>
  <c r="Y11" i="17"/>
  <c r="AF11" i="17" s="1"/>
  <c r="K36" i="17" s="1"/>
  <c r="AE11" i="17"/>
  <c r="K33" i="17" s="1"/>
  <c r="A54" i="15" l="1"/>
  <c r="B53" i="15"/>
  <c r="AB13" i="15"/>
  <c r="AH16" i="17"/>
  <c r="AH12" i="17"/>
  <c r="AH8" i="17"/>
  <c r="AH4" i="17"/>
  <c r="AH15" i="17"/>
  <c r="AH11" i="17"/>
  <c r="AH7" i="17"/>
  <c r="AH3" i="17"/>
  <c r="AH14" i="17"/>
  <c r="AH10" i="17"/>
  <c r="AH6" i="17"/>
  <c r="AH17" i="17"/>
  <c r="AH13" i="17"/>
  <c r="AH9" i="17"/>
  <c r="AH5" i="17"/>
  <c r="A55" i="15" l="1"/>
  <c r="B54" i="15"/>
  <c r="AB2" i="1"/>
  <c r="T95" i="1" s="1"/>
  <c r="V95" i="1" s="1"/>
  <c r="Y95" i="1" s="1"/>
  <c r="AA95" i="1" s="1"/>
  <c r="AB72" i="1"/>
  <c r="AB65" i="1"/>
  <c r="AB41" i="1"/>
  <c r="AB49" i="1"/>
  <c r="AB58" i="1"/>
  <c r="AB75" i="1"/>
  <c r="AB78" i="1"/>
  <c r="AB80" i="1"/>
  <c r="AB42" i="1"/>
  <c r="AB83" i="1"/>
  <c r="AB55" i="1"/>
  <c r="AB51" i="1"/>
  <c r="AB59" i="1"/>
  <c r="AB38" i="1"/>
  <c r="AB36" i="1"/>
  <c r="AB84" i="1"/>
  <c r="AB68" i="1"/>
  <c r="AB63" i="1"/>
  <c r="AB77" i="1"/>
  <c r="AB28" i="1"/>
  <c r="AB50" i="1"/>
  <c r="AB71" i="1"/>
  <c r="AB62" i="1"/>
  <c r="AB56" i="1"/>
  <c r="AB39" i="1"/>
  <c r="AB27" i="1"/>
  <c r="AB53" i="1"/>
  <c r="AB70" i="1"/>
  <c r="AB24" i="1"/>
  <c r="AB30" i="1"/>
  <c r="AB66" i="1"/>
  <c r="AB35" i="1"/>
  <c r="AB79" i="1"/>
  <c r="AB44" i="1"/>
  <c r="AB25" i="1"/>
  <c r="AB31" i="1"/>
  <c r="AB37" i="1"/>
  <c r="AB48" i="1"/>
  <c r="AB52" i="1"/>
  <c r="AB76" i="1"/>
  <c r="AB69" i="1"/>
  <c r="AB46" i="1"/>
  <c r="AB43" i="1"/>
  <c r="AB29" i="1"/>
  <c r="AB34" i="1"/>
  <c r="AB26" i="1"/>
  <c r="AB45" i="1"/>
  <c r="AB57" i="1"/>
  <c r="AB85" i="1"/>
  <c r="AB33" i="1"/>
  <c r="AB47" i="1"/>
  <c r="A56" i="15" l="1"/>
  <c r="B55" i="15"/>
  <c r="N8" i="15"/>
  <c r="H8" i="15" s="1"/>
  <c r="AB81" i="1"/>
  <c r="AB67" i="1"/>
  <c r="AB54" i="1"/>
  <c r="AB40" i="1"/>
  <c r="AB61" i="1"/>
  <c r="AB64" i="1"/>
  <c r="AB60" i="1"/>
  <c r="AB74" i="1"/>
  <c r="AB73" i="1"/>
  <c r="AB82" i="1"/>
  <c r="AB32" i="1"/>
  <c r="A57" i="15" l="1"/>
  <c r="B56" i="15"/>
  <c r="AD2" i="1"/>
  <c r="W24" i="1" l="1"/>
  <c r="Y24" i="1" s="1"/>
  <c r="AA24" i="1" s="1"/>
  <c r="W31" i="1"/>
  <c r="Y31" i="1" s="1"/>
  <c r="AA31" i="1" s="1"/>
  <c r="W20" i="1"/>
  <c r="Y20" i="1" s="1"/>
  <c r="AA20" i="1" s="1"/>
  <c r="W52" i="1"/>
  <c r="Y52" i="1" s="1"/>
  <c r="AA52" i="1" s="1"/>
  <c r="W15" i="1"/>
  <c r="Y15" i="1" s="1"/>
  <c r="AA15" i="1" s="1"/>
  <c r="W55" i="1"/>
  <c r="Y55" i="1" s="1"/>
  <c r="AA55" i="1" s="1"/>
  <c r="W56" i="1"/>
  <c r="Y56" i="1" s="1"/>
  <c r="AA56" i="1" s="1"/>
  <c r="W46" i="1"/>
  <c r="Y46" i="1" s="1"/>
  <c r="AA46" i="1" s="1"/>
  <c r="W59" i="1"/>
  <c r="Y59" i="1" s="1"/>
  <c r="AA59" i="1" s="1"/>
  <c r="W58" i="1"/>
  <c r="Y58" i="1" s="1"/>
  <c r="AA58" i="1" s="1"/>
  <c r="A58" i="15"/>
  <c r="B57" i="15"/>
  <c r="W37" i="1"/>
  <c r="Y37" i="1" s="1"/>
  <c r="AA37" i="1" s="1"/>
  <c r="W65" i="1"/>
  <c r="Y65" i="1" s="1"/>
  <c r="AA65" i="1" s="1"/>
  <c r="W22" i="1"/>
  <c r="Y22" i="1" s="1"/>
  <c r="AA22" i="1" s="1"/>
  <c r="W21" i="1"/>
  <c r="Y21" i="1" s="1"/>
  <c r="AA21" i="1" s="1"/>
  <c r="W42" i="1"/>
  <c r="Y42" i="1" s="1"/>
  <c r="AA42" i="1" s="1"/>
  <c r="W26" i="1"/>
  <c r="Y26" i="1" s="1"/>
  <c r="AA26" i="1" s="1"/>
  <c r="W47" i="1"/>
  <c r="Y47" i="1" s="1"/>
  <c r="AA47" i="1" s="1"/>
  <c r="W2" i="1"/>
  <c r="Y2" i="1" s="1"/>
  <c r="AA2" i="1" s="1"/>
  <c r="W93" i="1"/>
  <c r="Y93" i="1" s="1"/>
  <c r="AA93" i="1" s="1"/>
  <c r="W94" i="1"/>
  <c r="Y94" i="1" s="1"/>
  <c r="AA94" i="1" s="1"/>
  <c r="W68" i="1"/>
  <c r="Y68" i="1" s="1"/>
  <c r="AA68" i="1" s="1"/>
  <c r="W10" i="1"/>
  <c r="Y10" i="1" s="1"/>
  <c r="AA10" i="1" s="1"/>
  <c r="W87" i="1"/>
  <c r="Y87" i="1" s="1"/>
  <c r="AA87" i="1" s="1"/>
  <c r="W91" i="1"/>
  <c r="Y91" i="1" s="1"/>
  <c r="AA91" i="1" s="1"/>
  <c r="W88" i="1"/>
  <c r="Y88" i="1" s="1"/>
  <c r="AA88" i="1" s="1"/>
  <c r="W92" i="1"/>
  <c r="Y92" i="1" s="1"/>
  <c r="AA92" i="1" s="1"/>
  <c r="W89" i="1"/>
  <c r="Y89" i="1" s="1"/>
  <c r="AA89" i="1" s="1"/>
  <c r="W86" i="1"/>
  <c r="Y86" i="1" s="1"/>
  <c r="AA86" i="1" s="1"/>
  <c r="W90" i="1"/>
  <c r="Y90" i="1" s="1"/>
  <c r="AA90" i="1" s="1"/>
  <c r="W50" i="1"/>
  <c r="Y50" i="1" s="1"/>
  <c r="AA50" i="1" s="1"/>
  <c r="W27" i="1"/>
  <c r="Y27" i="1" s="1"/>
  <c r="AA27" i="1" s="1"/>
  <c r="W39" i="1"/>
  <c r="Y39" i="1" s="1"/>
  <c r="AA39" i="1" s="1"/>
  <c r="W63" i="1"/>
  <c r="Y63" i="1" s="1"/>
  <c r="AA63" i="1" s="1"/>
  <c r="W79" i="1"/>
  <c r="Y79" i="1" s="1"/>
  <c r="AA79" i="1" s="1"/>
  <c r="W76" i="1"/>
  <c r="Y76" i="1" s="1"/>
  <c r="AA76" i="1" s="1"/>
  <c r="W84" i="1"/>
  <c r="Y84" i="1" s="1"/>
  <c r="AA84" i="1" s="1"/>
  <c r="W57" i="1"/>
  <c r="Y57" i="1" s="1"/>
  <c r="AA57" i="1" s="1"/>
  <c r="W80" i="1"/>
  <c r="Y80" i="1" s="1"/>
  <c r="AA80" i="1" s="1"/>
  <c r="W72" i="1"/>
  <c r="Y72" i="1" s="1"/>
  <c r="AA72" i="1" s="1"/>
  <c r="W8" i="1"/>
  <c r="Y8" i="1" s="1"/>
  <c r="AA8" i="1" s="1"/>
  <c r="W18" i="1"/>
  <c r="Y18" i="1" s="1"/>
  <c r="AA18" i="1" s="1"/>
  <c r="W66" i="1"/>
  <c r="Y66" i="1" s="1"/>
  <c r="AA66" i="1" s="1"/>
  <c r="W77" i="1"/>
  <c r="Y77" i="1" s="1"/>
  <c r="AA77" i="1" s="1"/>
  <c r="W49" i="1"/>
  <c r="Y49" i="1" s="1"/>
  <c r="AA49" i="1" s="1"/>
  <c r="W17" i="1"/>
  <c r="Y17" i="1" s="1"/>
  <c r="AA17" i="1" s="1"/>
  <c r="W41" i="1"/>
  <c r="Y41" i="1" s="1"/>
  <c r="AA41" i="1" s="1"/>
  <c r="W69" i="1"/>
  <c r="Y69" i="1" s="1"/>
  <c r="AA69" i="1" s="1"/>
  <c r="W9" i="1"/>
  <c r="Y9" i="1" s="1"/>
  <c r="AA9" i="1" s="1"/>
  <c r="W7" i="1"/>
  <c r="Y7" i="1" s="1"/>
  <c r="AA7" i="1" s="1"/>
  <c r="W12" i="1"/>
  <c r="Y12" i="1" s="1"/>
  <c r="AA12" i="1" s="1"/>
  <c r="W23" i="1"/>
  <c r="Y23" i="1" s="1"/>
  <c r="AA23" i="1" s="1"/>
  <c r="W11" i="1"/>
  <c r="Y11" i="1" s="1"/>
  <c r="AA11" i="1" s="1"/>
  <c r="W78" i="1"/>
  <c r="Y78" i="1" s="1"/>
  <c r="AA78" i="1" s="1"/>
  <c r="W3" i="1"/>
  <c r="Y3" i="1" s="1"/>
  <c r="AA3" i="1" s="1"/>
  <c r="W29" i="1"/>
  <c r="Y29" i="1" s="1"/>
  <c r="AA29" i="1" s="1"/>
  <c r="W53" i="1"/>
  <c r="Y53" i="1" s="1"/>
  <c r="AA53" i="1" s="1"/>
  <c r="W5" i="1"/>
  <c r="Y5" i="1" s="1"/>
  <c r="AA5" i="1" s="1"/>
  <c r="W48" i="1"/>
  <c r="Y48" i="1" s="1"/>
  <c r="AA48" i="1" s="1"/>
  <c r="W85" i="1"/>
  <c r="Y85" i="1" s="1"/>
  <c r="AA85" i="1" s="1"/>
  <c r="W71" i="1"/>
  <c r="Y71" i="1" s="1"/>
  <c r="AA71" i="1" s="1"/>
  <c r="W6" i="1"/>
  <c r="Y6" i="1" s="1"/>
  <c r="AA6" i="1" s="1"/>
  <c r="W35" i="1"/>
  <c r="Y35" i="1" s="1"/>
  <c r="AA35" i="1" s="1"/>
  <c r="W62" i="1"/>
  <c r="Y62" i="1" s="1"/>
  <c r="AA62" i="1" s="1"/>
  <c r="W75" i="1"/>
  <c r="Y75" i="1" s="1"/>
  <c r="AA75" i="1" s="1"/>
  <c r="W13" i="1"/>
  <c r="Y13" i="1" s="1"/>
  <c r="AA13" i="1" s="1"/>
  <c r="W28" i="1"/>
  <c r="Y28" i="1" s="1"/>
  <c r="AA28" i="1" s="1"/>
  <c r="W45" i="1"/>
  <c r="Y45" i="1" s="1"/>
  <c r="AA45" i="1" s="1"/>
  <c r="W51" i="1"/>
  <c r="Y51" i="1" s="1"/>
  <c r="AA51" i="1" s="1"/>
  <c r="W83" i="1"/>
  <c r="Y83" i="1" s="1"/>
  <c r="AA83" i="1" s="1"/>
  <c r="W19" i="1"/>
  <c r="Y19" i="1" s="1"/>
  <c r="AA19" i="1" s="1"/>
  <c r="W44" i="1"/>
  <c r="Y44" i="1" s="1"/>
  <c r="AA44" i="1" s="1"/>
  <c r="W70" i="1"/>
  <c r="Y70" i="1" s="1"/>
  <c r="AA70" i="1" s="1"/>
  <c r="W36" i="1"/>
  <c r="Y36" i="1" s="1"/>
  <c r="AA36" i="1" s="1"/>
  <c r="W43" i="1"/>
  <c r="Y43" i="1" s="1"/>
  <c r="AA43" i="1" s="1"/>
  <c r="W82" i="1"/>
  <c r="Y82" i="1" s="1"/>
  <c r="AA82" i="1" s="1"/>
  <c r="W30" i="1"/>
  <c r="Y30" i="1" s="1"/>
  <c r="AA30" i="1" s="1"/>
  <c r="W14" i="1"/>
  <c r="Y14" i="1" s="1"/>
  <c r="AA14" i="1" s="1"/>
  <c r="W38" i="1"/>
  <c r="Y38" i="1" s="1"/>
  <c r="AA38" i="1" s="1"/>
  <c r="W34" i="1"/>
  <c r="Y34" i="1" s="1"/>
  <c r="AA34" i="1" s="1"/>
  <c r="W33" i="1"/>
  <c r="Y33" i="1" s="1"/>
  <c r="AA33" i="1" s="1"/>
  <c r="W25" i="1"/>
  <c r="Y25" i="1" s="1"/>
  <c r="AA25" i="1" s="1"/>
  <c r="W4" i="1"/>
  <c r="Y4" i="1" s="1"/>
  <c r="AA4" i="1" s="1"/>
  <c r="W54" i="1"/>
  <c r="Y54" i="1" s="1"/>
  <c r="AA54" i="1" s="1"/>
  <c r="W40" i="1"/>
  <c r="Y40" i="1" s="1"/>
  <c r="AA40" i="1" s="1"/>
  <c r="W16" i="1"/>
  <c r="Y16" i="1" s="1"/>
  <c r="AA16" i="1" s="1"/>
  <c r="W60" i="1"/>
  <c r="Y60" i="1" s="1"/>
  <c r="AA60" i="1" s="1"/>
  <c r="W32" i="1"/>
  <c r="Y32" i="1" s="1"/>
  <c r="AA32" i="1" s="1"/>
  <c r="W73" i="1"/>
  <c r="Y73" i="1" s="1"/>
  <c r="AA73" i="1" s="1"/>
  <c r="W61" i="1"/>
  <c r="Y61" i="1" s="1"/>
  <c r="AA61" i="1" s="1"/>
  <c r="W74" i="1"/>
  <c r="Y74" i="1" s="1"/>
  <c r="AA74" i="1" s="1"/>
  <c r="W64" i="1"/>
  <c r="Y64" i="1" s="1"/>
  <c r="AA64" i="1" s="1"/>
  <c r="W81" i="1"/>
  <c r="Y81" i="1" s="1"/>
  <c r="AA81" i="1" s="1"/>
  <c r="W67" i="1"/>
  <c r="Y67" i="1" s="1"/>
  <c r="AA67" i="1" s="1"/>
  <c r="Z13" i="15"/>
  <c r="L8" i="15" s="1"/>
  <c r="G8" i="15" s="1"/>
  <c r="A59" i="15" l="1"/>
  <c r="B58" i="15"/>
  <c r="D94" i="1"/>
  <c r="D93" i="1"/>
  <c r="D89" i="1"/>
  <c r="D87" i="1"/>
  <c r="D86" i="1"/>
  <c r="D90" i="1"/>
  <c r="D88" i="1"/>
  <c r="D92" i="1"/>
  <c r="D91" i="1"/>
  <c r="D26" i="1"/>
  <c r="A60" i="15" l="1"/>
  <c r="B59" i="15"/>
  <c r="F93" i="1"/>
  <c r="E93" i="1"/>
  <c r="E94" i="1"/>
  <c r="F94" i="1"/>
  <c r="E91" i="1"/>
  <c r="F91" i="1"/>
  <c r="E86" i="1"/>
  <c r="F86" i="1"/>
  <c r="E88" i="1"/>
  <c r="F88" i="1"/>
  <c r="E90" i="1"/>
  <c r="F90" i="1"/>
  <c r="E92" i="1"/>
  <c r="F92" i="1"/>
  <c r="F87" i="1"/>
  <c r="E87" i="1"/>
  <c r="E89" i="1"/>
  <c r="F89" i="1"/>
  <c r="D65" i="1"/>
  <c r="F65" i="1" s="1"/>
  <c r="D51" i="1"/>
  <c r="E51" i="1" s="1"/>
  <c r="D28" i="1"/>
  <c r="F28" i="1" s="1"/>
  <c r="D74" i="1"/>
  <c r="F74" i="1" s="1"/>
  <c r="D11" i="1"/>
  <c r="D38" i="1"/>
  <c r="F38" i="1" s="1"/>
  <c r="D29" i="1"/>
  <c r="E29" i="1" s="1"/>
  <c r="D48" i="1"/>
  <c r="F48" i="1" s="1"/>
  <c r="D32" i="1"/>
  <c r="D4" i="1"/>
  <c r="F4" i="1" s="1"/>
  <c r="D64" i="1"/>
  <c r="F64" i="1" s="1"/>
  <c r="D61" i="1"/>
  <c r="E61" i="1" s="1"/>
  <c r="D31" i="1"/>
  <c r="F31" i="1" s="1"/>
  <c r="D19" i="1"/>
  <c r="F19" i="1" s="1"/>
  <c r="D95" i="1"/>
  <c r="E95" i="1" s="1"/>
  <c r="D30" i="1"/>
  <c r="E30" i="1" s="1"/>
  <c r="D54" i="1"/>
  <c r="D41" i="1"/>
  <c r="F41" i="1" s="1"/>
  <c r="D60" i="1"/>
  <c r="E60" i="1" s="1"/>
  <c r="D9" i="1"/>
  <c r="D20" i="1"/>
  <c r="D69" i="1"/>
  <c r="D27" i="1"/>
  <c r="D63" i="1"/>
  <c r="D80" i="1"/>
  <c r="D52" i="1"/>
  <c r="D43" i="1"/>
  <c r="D25" i="1"/>
  <c r="D56" i="1"/>
  <c r="D18" i="1"/>
  <c r="D66" i="1"/>
  <c r="D82" i="1"/>
  <c r="D72" i="1"/>
  <c r="D23" i="1"/>
  <c r="D75" i="1"/>
  <c r="D83" i="1"/>
  <c r="D50" i="1"/>
  <c r="D55" i="1"/>
  <c r="D13" i="1"/>
  <c r="D46" i="1"/>
  <c r="D36" i="1"/>
  <c r="D40" i="1"/>
  <c r="D53" i="1"/>
  <c r="D47" i="1"/>
  <c r="D5" i="1"/>
  <c r="D62" i="1"/>
  <c r="D35" i="1"/>
  <c r="D2" i="1"/>
  <c r="D76" i="1"/>
  <c r="D39" i="1"/>
  <c r="D70" i="1"/>
  <c r="D79" i="1"/>
  <c r="D24" i="1"/>
  <c r="D14" i="1"/>
  <c r="D85" i="1"/>
  <c r="D7" i="1"/>
  <c r="D6" i="1"/>
  <c r="D81" i="1"/>
  <c r="D77" i="1"/>
  <c r="D3" i="1"/>
  <c r="D33" i="1"/>
  <c r="D78" i="1"/>
  <c r="D68" i="1"/>
  <c r="D73" i="1"/>
  <c r="D16" i="1"/>
  <c r="D10" i="1"/>
  <c r="D45" i="1"/>
  <c r="D17" i="1"/>
  <c r="D84" i="1"/>
  <c r="D57" i="1"/>
  <c r="D34" i="1"/>
  <c r="D15" i="1"/>
  <c r="D59" i="1"/>
  <c r="D67" i="1"/>
  <c r="D12" i="1"/>
  <c r="D44" i="1"/>
  <c r="D71" i="1"/>
  <c r="D22" i="1"/>
  <c r="D58" i="1"/>
  <c r="D21" i="1"/>
  <c r="D8" i="1"/>
  <c r="D42" i="1"/>
  <c r="D37" i="1"/>
  <c r="D49" i="1"/>
  <c r="E11" i="1"/>
  <c r="F11" i="1"/>
  <c r="F54" i="1"/>
  <c r="E54" i="1"/>
  <c r="F26" i="1"/>
  <c r="E26" i="1"/>
  <c r="E31" i="1" l="1"/>
  <c r="R13" i="15"/>
  <c r="F60" i="1"/>
  <c r="E64" i="1"/>
  <c r="F29" i="1"/>
  <c r="F95" i="1"/>
  <c r="E28" i="1"/>
  <c r="L59" i="15"/>
  <c r="G59" i="15" s="1"/>
  <c r="E59" i="15"/>
  <c r="J59" i="15" s="1"/>
  <c r="K59" i="15" s="1"/>
  <c r="N59" i="15"/>
  <c r="H59" i="15" s="1"/>
  <c r="L47" i="15"/>
  <c r="G47" i="15" s="1"/>
  <c r="N47" i="15"/>
  <c r="H47" i="15" s="1"/>
  <c r="E47" i="15"/>
  <c r="J47" i="15" s="1"/>
  <c r="K47" i="15" s="1"/>
  <c r="N48" i="15"/>
  <c r="H48" i="15" s="1"/>
  <c r="E48" i="15"/>
  <c r="J48" i="15" s="1"/>
  <c r="K48" i="15" s="1"/>
  <c r="L48" i="15"/>
  <c r="G48" i="15" s="1"/>
  <c r="N49" i="15"/>
  <c r="H49" i="15" s="1"/>
  <c r="L49" i="15"/>
  <c r="G49" i="15" s="1"/>
  <c r="E49" i="15"/>
  <c r="J49" i="15" s="1"/>
  <c r="K49" i="15" s="1"/>
  <c r="L50" i="15"/>
  <c r="G50" i="15" s="1"/>
  <c r="N50" i="15"/>
  <c r="H50" i="15" s="1"/>
  <c r="E50" i="15"/>
  <c r="J50" i="15" s="1"/>
  <c r="K50" i="15" s="1"/>
  <c r="L51" i="15"/>
  <c r="G51" i="15" s="1"/>
  <c r="N51" i="15"/>
  <c r="H51" i="15" s="1"/>
  <c r="E51" i="15"/>
  <c r="J51" i="15" s="1"/>
  <c r="K51" i="15" s="1"/>
  <c r="L52" i="15"/>
  <c r="G52" i="15" s="1"/>
  <c r="E52" i="15"/>
  <c r="J52" i="15" s="1"/>
  <c r="K52" i="15" s="1"/>
  <c r="N52" i="15"/>
  <c r="H52" i="15" s="1"/>
  <c r="N53" i="15"/>
  <c r="H53" i="15" s="1"/>
  <c r="L53" i="15"/>
  <c r="G53" i="15" s="1"/>
  <c r="E53" i="15"/>
  <c r="J53" i="15" s="1"/>
  <c r="K53" i="15" s="1"/>
  <c r="L54" i="15"/>
  <c r="G54" i="15" s="1"/>
  <c r="N54" i="15"/>
  <c r="H54" i="15" s="1"/>
  <c r="E54" i="15"/>
  <c r="J54" i="15" s="1"/>
  <c r="K54" i="15" s="1"/>
  <c r="N55" i="15"/>
  <c r="H55" i="15" s="1"/>
  <c r="L55" i="15"/>
  <c r="G55" i="15" s="1"/>
  <c r="E55" i="15"/>
  <c r="J55" i="15" s="1"/>
  <c r="K55" i="15" s="1"/>
  <c r="L56" i="15"/>
  <c r="G56" i="15" s="1"/>
  <c r="N56" i="15"/>
  <c r="H56" i="15" s="1"/>
  <c r="E56" i="15"/>
  <c r="J56" i="15" s="1"/>
  <c r="K56" i="15" s="1"/>
  <c r="E57" i="15"/>
  <c r="J57" i="15" s="1"/>
  <c r="K57" i="15" s="1"/>
  <c r="N57" i="15"/>
  <c r="H57" i="15" s="1"/>
  <c r="L57" i="15"/>
  <c r="G57" i="15" s="1"/>
  <c r="L58" i="15"/>
  <c r="G58" i="15" s="1"/>
  <c r="N58" i="15"/>
  <c r="H58" i="15" s="1"/>
  <c r="E58" i="15"/>
  <c r="J58" i="15" s="1"/>
  <c r="K58" i="15" s="1"/>
  <c r="A61" i="15"/>
  <c r="E60" i="15"/>
  <c r="J60" i="15" s="1"/>
  <c r="K60" i="15" s="1"/>
  <c r="N60" i="15"/>
  <c r="H60" i="15" s="1"/>
  <c r="L60" i="15"/>
  <c r="G60" i="15" s="1"/>
  <c r="B60" i="15"/>
  <c r="E19" i="1"/>
  <c r="E41" i="1"/>
  <c r="F51" i="1"/>
  <c r="L18" i="15"/>
  <c r="G18" i="15" s="1"/>
  <c r="E74" i="1"/>
  <c r="F30" i="1"/>
  <c r="E38" i="1"/>
  <c r="E16" i="15"/>
  <c r="J16" i="15" s="1"/>
  <c r="K16" i="15" s="1"/>
  <c r="E17" i="15"/>
  <c r="J17" i="15" s="1"/>
  <c r="K17" i="15" s="1"/>
  <c r="E21" i="15"/>
  <c r="J21" i="15" s="1"/>
  <c r="K21" i="15" s="1"/>
  <c r="E40" i="15"/>
  <c r="J40" i="15" s="1"/>
  <c r="K40" i="15" s="1"/>
  <c r="N35" i="15"/>
  <c r="H35" i="15" s="1"/>
  <c r="E32" i="15"/>
  <c r="J32" i="15" s="1"/>
  <c r="K32" i="15" s="1"/>
  <c r="N15" i="15"/>
  <c r="H15" i="15" s="1"/>
  <c r="N40" i="15"/>
  <c r="H40" i="15" s="1"/>
  <c r="E38" i="15"/>
  <c r="J38" i="15" s="1"/>
  <c r="K38" i="15" s="1"/>
  <c r="L42" i="15"/>
  <c r="G42" i="15" s="1"/>
  <c r="E48" i="1"/>
  <c r="F61" i="1"/>
  <c r="E9" i="1"/>
  <c r="L27" i="15"/>
  <c r="G27" i="15" s="1"/>
  <c r="N22" i="15"/>
  <c r="H22" i="15" s="1"/>
  <c r="N41" i="15"/>
  <c r="H41" i="15" s="1"/>
  <c r="L22" i="15"/>
  <c r="G22" i="15" s="1"/>
  <c r="N32" i="15"/>
  <c r="H32" i="15" s="1"/>
  <c r="F9" i="1"/>
  <c r="N33" i="15"/>
  <c r="H33" i="15" s="1"/>
  <c r="E29" i="15"/>
  <c r="J29" i="15" s="1"/>
  <c r="K29" i="15" s="1"/>
  <c r="N42" i="15"/>
  <c r="H42" i="15" s="1"/>
  <c r="L43" i="15"/>
  <c r="G43" i="15" s="1"/>
  <c r="E41" i="15"/>
  <c r="J41" i="15" s="1"/>
  <c r="K41" i="15" s="1"/>
  <c r="L44" i="15"/>
  <c r="G44" i="15" s="1"/>
  <c r="N28" i="15"/>
  <c r="H28" i="15" s="1"/>
  <c r="L23" i="15"/>
  <c r="G23" i="15" s="1"/>
  <c r="E35" i="15"/>
  <c r="J35" i="15" s="1"/>
  <c r="K35" i="15" s="1"/>
  <c r="L38" i="15"/>
  <c r="G38" i="15" s="1"/>
  <c r="E28" i="15"/>
  <c r="J28" i="15" s="1"/>
  <c r="K28" i="15" s="1"/>
  <c r="N31" i="15"/>
  <c r="H31" i="15" s="1"/>
  <c r="L45" i="15"/>
  <c r="G45" i="15" s="1"/>
  <c r="E42" i="15"/>
  <c r="J42" i="15" s="1"/>
  <c r="K42" i="15" s="1"/>
  <c r="L17" i="15"/>
  <c r="G17" i="15" s="1"/>
  <c r="N37" i="15"/>
  <c r="H37" i="15" s="1"/>
  <c r="E19" i="15"/>
  <c r="J19" i="15" s="1"/>
  <c r="K19" i="15" s="1"/>
  <c r="E43" i="15"/>
  <c r="J43" i="15" s="1"/>
  <c r="K43" i="15" s="1"/>
  <c r="E26" i="15"/>
  <c r="J26" i="15" s="1"/>
  <c r="K26" i="15" s="1"/>
  <c r="N30" i="15"/>
  <c r="H30" i="15" s="1"/>
  <c r="L24" i="15"/>
  <c r="G24" i="15" s="1"/>
  <c r="L25" i="15"/>
  <c r="G25" i="15" s="1"/>
  <c r="L16" i="15"/>
  <c r="G16" i="15" s="1"/>
  <c r="N29" i="15"/>
  <c r="H29" i="15" s="1"/>
  <c r="L32" i="15"/>
  <c r="G32" i="15" s="1"/>
  <c r="N43" i="15"/>
  <c r="H43" i="15" s="1"/>
  <c r="L30" i="15"/>
  <c r="G30" i="15" s="1"/>
  <c r="E4" i="1"/>
  <c r="L34" i="15"/>
  <c r="G34" i="15" s="1"/>
  <c r="E22" i="15"/>
  <c r="J22" i="15" s="1"/>
  <c r="K22" i="15" s="1"/>
  <c r="E65" i="1"/>
  <c r="N45" i="15"/>
  <c r="H45" i="15" s="1"/>
  <c r="L4" i="15"/>
  <c r="E15" i="15"/>
  <c r="J15" i="15" s="1"/>
  <c r="K15" i="15" s="1"/>
  <c r="L15" i="15"/>
  <c r="G15" i="15" s="1"/>
  <c r="E24" i="15"/>
  <c r="J24" i="15" s="1"/>
  <c r="K24" i="15" s="1"/>
  <c r="N23" i="15"/>
  <c r="H23" i="15" s="1"/>
  <c r="N27" i="15"/>
  <c r="H27" i="15" s="1"/>
  <c r="L40" i="15"/>
  <c r="G40" i="15" s="1"/>
  <c r="L33" i="15"/>
  <c r="G33" i="15" s="1"/>
  <c r="E32" i="1"/>
  <c r="F32" i="1"/>
  <c r="E30" i="15"/>
  <c r="J30" i="15" s="1"/>
  <c r="K30" i="15" s="1"/>
  <c r="E45" i="15"/>
  <c r="J45" i="15" s="1"/>
  <c r="K45" i="15" s="1"/>
  <c r="L41" i="15"/>
  <c r="G41" i="15" s="1"/>
  <c r="N44" i="15"/>
  <c r="H44" i="15" s="1"/>
  <c r="L31" i="15"/>
  <c r="G31" i="15" s="1"/>
  <c r="E27" i="15"/>
  <c r="J27" i="15" s="1"/>
  <c r="K27" i="15" s="1"/>
  <c r="L35" i="15"/>
  <c r="G35" i="15" s="1"/>
  <c r="N38" i="15"/>
  <c r="H38" i="15" s="1"/>
  <c r="L39" i="15"/>
  <c r="G39" i="15" s="1"/>
  <c r="E25" i="15"/>
  <c r="J25" i="15" s="1"/>
  <c r="K25" i="15" s="1"/>
  <c r="E23" i="15"/>
  <c r="J23" i="15" s="1"/>
  <c r="K23" i="15" s="1"/>
  <c r="E42" i="1"/>
  <c r="F42" i="1"/>
  <c r="E22" i="1"/>
  <c r="F22" i="1"/>
  <c r="E67" i="1"/>
  <c r="F67" i="1"/>
  <c r="E57" i="1"/>
  <c r="F57" i="1"/>
  <c r="F10" i="1"/>
  <c r="E10" i="1"/>
  <c r="F78" i="1"/>
  <c r="E78" i="1"/>
  <c r="F81" i="1"/>
  <c r="E81" i="1"/>
  <c r="E14" i="1"/>
  <c r="F14" i="1"/>
  <c r="E39" i="1"/>
  <c r="F39" i="1"/>
  <c r="F62" i="1"/>
  <c r="E62" i="1"/>
  <c r="F40" i="1"/>
  <c r="E40" i="1"/>
  <c r="E55" i="1"/>
  <c r="F55" i="1"/>
  <c r="F23" i="1"/>
  <c r="E23" i="1"/>
  <c r="E18" i="1"/>
  <c r="F18" i="1"/>
  <c r="E52" i="1"/>
  <c r="F52" i="1"/>
  <c r="E69" i="1"/>
  <c r="F69" i="1"/>
  <c r="F8" i="1"/>
  <c r="E8" i="1"/>
  <c r="F71" i="1"/>
  <c r="E71" i="1"/>
  <c r="E59" i="1"/>
  <c r="F59" i="1"/>
  <c r="E84" i="1"/>
  <c r="F84" i="1"/>
  <c r="E16" i="1"/>
  <c r="F16" i="1"/>
  <c r="F33" i="1"/>
  <c r="E33" i="1"/>
  <c r="F6" i="1"/>
  <c r="E6" i="1"/>
  <c r="E24" i="1"/>
  <c r="F24" i="1"/>
  <c r="E76" i="1"/>
  <c r="F76" i="1"/>
  <c r="F5" i="1"/>
  <c r="E5" i="1"/>
  <c r="F36" i="1"/>
  <c r="E36" i="1"/>
  <c r="F50" i="1"/>
  <c r="E50" i="1"/>
  <c r="E72" i="1"/>
  <c r="F72" i="1"/>
  <c r="E56" i="1"/>
  <c r="F56" i="1"/>
  <c r="E80" i="1"/>
  <c r="F80" i="1"/>
  <c r="E20" i="1"/>
  <c r="F20" i="1"/>
  <c r="F49" i="1"/>
  <c r="E49" i="1"/>
  <c r="F21" i="1"/>
  <c r="E21" i="1"/>
  <c r="E44" i="1"/>
  <c r="F44" i="1"/>
  <c r="E15" i="1"/>
  <c r="F15" i="1"/>
  <c r="F17" i="1"/>
  <c r="E17" i="1"/>
  <c r="F73" i="1"/>
  <c r="E73" i="1"/>
  <c r="E3" i="1"/>
  <c r="F3" i="1"/>
  <c r="F7" i="1"/>
  <c r="E7" i="1"/>
  <c r="E79" i="1"/>
  <c r="F79" i="1"/>
  <c r="E2" i="1"/>
  <c r="L37" i="15"/>
  <c r="G37" i="15" s="1"/>
  <c r="N20" i="15"/>
  <c r="H20" i="15" s="1"/>
  <c r="N24" i="15"/>
  <c r="H24" i="15" s="1"/>
  <c r="N39" i="15"/>
  <c r="H39" i="15" s="1"/>
  <c r="N21" i="15"/>
  <c r="H21" i="15" s="1"/>
  <c r="L21" i="15"/>
  <c r="G21" i="15" s="1"/>
  <c r="E33" i="15"/>
  <c r="J33" i="15" s="1"/>
  <c r="K33" i="15" s="1"/>
  <c r="E20" i="15"/>
  <c r="J20" i="15" s="1"/>
  <c r="K20" i="15" s="1"/>
  <c r="L36" i="15"/>
  <c r="G36" i="15" s="1"/>
  <c r="E36" i="15"/>
  <c r="J36" i="15" s="1"/>
  <c r="K36" i="15" s="1"/>
  <c r="N34" i="15"/>
  <c r="H34" i="15" s="1"/>
  <c r="E39" i="15"/>
  <c r="J39" i="15" s="1"/>
  <c r="K39" i="15" s="1"/>
  <c r="N26" i="15"/>
  <c r="H26" i="15" s="1"/>
  <c r="E18" i="15"/>
  <c r="J18" i="15" s="1"/>
  <c r="K18" i="15" s="1"/>
  <c r="L29" i="15"/>
  <c r="G29" i="15" s="1"/>
  <c r="N16" i="15"/>
  <c r="H16" i="15" s="1"/>
  <c r="F2" i="1"/>
  <c r="N36" i="15"/>
  <c r="H36" i="15" s="1"/>
  <c r="E37" i="15"/>
  <c r="J37" i="15" s="1"/>
  <c r="K37" i="15" s="1"/>
  <c r="L26" i="15"/>
  <c r="G26" i="15" s="1"/>
  <c r="E44" i="15"/>
  <c r="J44" i="15" s="1"/>
  <c r="K44" i="15" s="1"/>
  <c r="E46" i="15"/>
  <c r="J46" i="15" s="1"/>
  <c r="K46" i="15" s="1"/>
  <c r="L19" i="15"/>
  <c r="G19" i="15" s="1"/>
  <c r="L46" i="15"/>
  <c r="G46" i="15" s="1"/>
  <c r="N19" i="15"/>
  <c r="H19" i="15" s="1"/>
  <c r="E34" i="15"/>
  <c r="J34" i="15" s="1"/>
  <c r="K34" i="15" s="1"/>
  <c r="N46" i="15"/>
  <c r="H46" i="15" s="1"/>
  <c r="E31" i="15"/>
  <c r="J31" i="15" s="1"/>
  <c r="K31" i="15" s="1"/>
  <c r="N17" i="15"/>
  <c r="H17" i="15" s="1"/>
  <c r="L20" i="15"/>
  <c r="G20" i="15" s="1"/>
  <c r="N18" i="15"/>
  <c r="H18" i="15" s="1"/>
  <c r="N25" i="15"/>
  <c r="H25" i="15" s="1"/>
  <c r="L28" i="15"/>
  <c r="G28" i="15" s="1"/>
  <c r="F47" i="1"/>
  <c r="E47" i="1"/>
  <c r="E46" i="1"/>
  <c r="F46" i="1"/>
  <c r="E83" i="1"/>
  <c r="F83" i="1"/>
  <c r="E82" i="1"/>
  <c r="F82" i="1"/>
  <c r="F25" i="1"/>
  <c r="E25" i="1"/>
  <c r="E63" i="1"/>
  <c r="F63" i="1"/>
  <c r="E37" i="1"/>
  <c r="F37" i="1"/>
  <c r="E58" i="1"/>
  <c r="F58" i="1"/>
  <c r="E12" i="1"/>
  <c r="F12" i="1"/>
  <c r="E34" i="1"/>
  <c r="F34" i="1"/>
  <c r="F45" i="1"/>
  <c r="E45" i="1"/>
  <c r="F68" i="1"/>
  <c r="E68" i="1"/>
  <c r="F77" i="1"/>
  <c r="E77" i="1"/>
  <c r="F85" i="1"/>
  <c r="E85" i="1"/>
  <c r="E70" i="1"/>
  <c r="F70" i="1"/>
  <c r="E35" i="1"/>
  <c r="F35" i="1"/>
  <c r="F53" i="1"/>
  <c r="E53" i="1"/>
  <c r="F13" i="1"/>
  <c r="E13" i="1"/>
  <c r="F75" i="1"/>
  <c r="E75" i="1"/>
  <c r="E66" i="1"/>
  <c r="F66" i="1"/>
  <c r="F43" i="1"/>
  <c r="E43" i="1"/>
  <c r="F27" i="1"/>
  <c r="E27" i="1"/>
  <c r="D59" i="15" l="1"/>
  <c r="C49" i="15"/>
  <c r="C52" i="15"/>
  <c r="D56" i="15"/>
  <c r="D51" i="15"/>
  <c r="D48" i="15"/>
  <c r="D47" i="15"/>
  <c r="C47" i="15"/>
  <c r="C51" i="15"/>
  <c r="D54" i="15"/>
  <c r="C48" i="15"/>
  <c r="C50" i="15"/>
  <c r="D50" i="15"/>
  <c r="C58" i="15"/>
  <c r="C57" i="15"/>
  <c r="D52" i="15"/>
  <c r="D60" i="15"/>
  <c r="D58" i="15"/>
  <c r="C60" i="15"/>
  <c r="D57" i="15"/>
  <c r="C59" i="15"/>
  <c r="C55" i="15"/>
  <c r="C53" i="15"/>
  <c r="D49" i="15"/>
  <c r="D53" i="15"/>
  <c r="C56" i="15"/>
  <c r="D55" i="15"/>
  <c r="C54" i="15"/>
  <c r="D27" i="15"/>
  <c r="A62" i="15"/>
  <c r="L61" i="15"/>
  <c r="G61" i="15" s="1"/>
  <c r="B61" i="15"/>
  <c r="E61" i="15"/>
  <c r="J61" i="15" s="1"/>
  <c r="K61" i="15" s="1"/>
  <c r="N61" i="15"/>
  <c r="H61" i="15" s="1"/>
  <c r="D61" i="15"/>
  <c r="C61" i="15"/>
  <c r="D22" i="15"/>
  <c r="C22" i="15"/>
  <c r="C20" i="15"/>
  <c r="C39" i="15"/>
  <c r="D20" i="15"/>
  <c r="D33" i="15"/>
  <c r="C33" i="15"/>
  <c r="C45" i="15"/>
  <c r="D45" i="15"/>
  <c r="C15" i="15"/>
  <c r="D15" i="15"/>
  <c r="D41" i="15"/>
  <c r="C18" i="15"/>
  <c r="D26" i="15"/>
  <c r="D44" i="15"/>
  <c r="D16" i="15"/>
  <c r="C16" i="15"/>
  <c r="D28" i="15"/>
  <c r="C28" i="15"/>
  <c r="C44" i="15"/>
  <c r="D18" i="15"/>
  <c r="C25" i="15"/>
  <c r="D31" i="15"/>
  <c r="D40" i="15"/>
  <c r="C40" i="15"/>
  <c r="C34" i="15"/>
  <c r="C27" i="15"/>
  <c r="D34" i="15"/>
  <c r="D32" i="15"/>
  <c r="S13" i="15"/>
  <c r="M4" i="15" s="1"/>
  <c r="D42" i="15"/>
  <c r="C37" i="15"/>
  <c r="D24" i="15"/>
  <c r="D25" i="15"/>
  <c r="C29" i="15"/>
  <c r="C31" i="15"/>
  <c r="C17" i="15"/>
  <c r="D17" i="15"/>
  <c r="C35" i="15"/>
  <c r="D29" i="15"/>
  <c r="C38" i="15"/>
  <c r="D23" i="15"/>
  <c r="C24" i="15"/>
  <c r="D38" i="15"/>
  <c r="C23" i="15"/>
  <c r="C26" i="15"/>
  <c r="D37" i="15"/>
  <c r="T13" i="15"/>
  <c r="N4" i="15" s="1"/>
  <c r="C32" i="15"/>
  <c r="C36" i="15"/>
  <c r="C42" i="15"/>
  <c r="C43" i="15"/>
  <c r="D46" i="15"/>
  <c r="D43" i="15"/>
  <c r="C41" i="15"/>
  <c r="C46" i="15"/>
  <c r="D36" i="15"/>
  <c r="C19" i="15"/>
  <c r="C21" i="15"/>
  <c r="D30" i="15"/>
  <c r="D35" i="15"/>
  <c r="D19" i="15"/>
  <c r="D21" i="15"/>
  <c r="C30" i="15"/>
  <c r="D39" i="15"/>
  <c r="A63" i="15" l="1"/>
  <c r="E62" i="15"/>
  <c r="J62" i="15" s="1"/>
  <c r="K62" i="15" s="1"/>
  <c r="D62" i="15"/>
  <c r="N62" i="15"/>
  <c r="H62" i="15" s="1"/>
  <c r="C62" i="15"/>
  <c r="L62" i="15"/>
  <c r="G62" i="15" s="1"/>
  <c r="B62" i="15"/>
  <c r="A64" i="15" l="1"/>
  <c r="C63" i="15"/>
  <c r="L63" i="15"/>
  <c r="G63" i="15" s="1"/>
  <c r="B63" i="15"/>
  <c r="E63" i="15"/>
  <c r="J63" i="15" s="1"/>
  <c r="K63" i="15" s="1"/>
  <c r="N63" i="15"/>
  <c r="H63" i="15" s="1"/>
  <c r="D63" i="15"/>
  <c r="A65" i="15" l="1"/>
  <c r="D64" i="15"/>
  <c r="N64" i="15"/>
  <c r="H64" i="15" s="1"/>
  <c r="C64" i="15"/>
  <c r="L64" i="15"/>
  <c r="G64" i="15" s="1"/>
  <c r="B64" i="15"/>
  <c r="E64" i="15"/>
  <c r="J64" i="15" s="1"/>
  <c r="K64" i="15" s="1"/>
  <c r="A66" i="15" l="1"/>
  <c r="N65" i="15"/>
  <c r="H65" i="15" s="1"/>
  <c r="C65" i="15"/>
  <c r="L65" i="15"/>
  <c r="G65" i="15" s="1"/>
  <c r="B65" i="15"/>
  <c r="E65" i="15"/>
  <c r="J65" i="15" s="1"/>
  <c r="K65" i="15" s="1"/>
  <c r="D65" i="15"/>
  <c r="A67" i="15" l="1"/>
  <c r="E66" i="15"/>
  <c r="J66" i="15" s="1"/>
  <c r="K66" i="15" s="1"/>
  <c r="D66" i="15"/>
  <c r="N66" i="15"/>
  <c r="H66" i="15" s="1"/>
  <c r="C66" i="15"/>
  <c r="L66" i="15"/>
  <c r="G66" i="15" s="1"/>
  <c r="B66" i="15"/>
  <c r="A68" i="15" l="1"/>
  <c r="N67" i="15"/>
  <c r="H67" i="15" s="1"/>
  <c r="C67" i="15"/>
  <c r="L67" i="15"/>
  <c r="G67" i="15" s="1"/>
  <c r="B67" i="15"/>
  <c r="E67" i="15"/>
  <c r="J67" i="15" s="1"/>
  <c r="K67" i="15" s="1"/>
  <c r="D67" i="15"/>
  <c r="A69" i="15" l="1"/>
  <c r="E68" i="15"/>
  <c r="J68" i="15" s="1"/>
  <c r="K68" i="15" s="1"/>
  <c r="D68" i="15"/>
  <c r="N68" i="15"/>
  <c r="H68" i="15" s="1"/>
  <c r="C68" i="15"/>
  <c r="L68" i="15"/>
  <c r="G68" i="15" s="1"/>
  <c r="B68" i="15"/>
  <c r="A70" i="15" l="1"/>
  <c r="N69" i="15"/>
  <c r="H69" i="15" s="1"/>
  <c r="C69" i="15"/>
  <c r="L69" i="15"/>
  <c r="G69" i="15" s="1"/>
  <c r="B69" i="15"/>
  <c r="E69" i="15"/>
  <c r="J69" i="15" s="1"/>
  <c r="K69" i="15" s="1"/>
  <c r="D69" i="15"/>
  <c r="A71" i="15" l="1"/>
  <c r="E70" i="15"/>
  <c r="J70" i="15" s="1"/>
  <c r="K70" i="15" s="1"/>
  <c r="D70" i="15"/>
  <c r="N70" i="15"/>
  <c r="H70" i="15" s="1"/>
  <c r="C70" i="15"/>
  <c r="L70" i="15"/>
  <c r="G70" i="15" s="1"/>
  <c r="B70" i="15"/>
  <c r="A72" i="15" l="1"/>
  <c r="N71" i="15"/>
  <c r="H71" i="15" s="1"/>
  <c r="C71" i="15"/>
  <c r="L71" i="15"/>
  <c r="G71" i="15" s="1"/>
  <c r="B71" i="15"/>
  <c r="E71" i="15"/>
  <c r="J71" i="15" s="1"/>
  <c r="K71" i="15" s="1"/>
  <c r="D71" i="15"/>
  <c r="E72" i="15" l="1"/>
  <c r="J72" i="15" s="1"/>
  <c r="K72" i="15" s="1"/>
  <c r="D72" i="15"/>
  <c r="N72" i="15"/>
  <c r="H72" i="15" s="1"/>
  <c r="C72" i="15"/>
  <c r="L72" i="15"/>
  <c r="G72" i="15" s="1"/>
  <c r="B72" i="15"/>
</calcChain>
</file>

<file path=xl/sharedStrings.xml><?xml version="1.0" encoding="utf-8"?>
<sst xmlns="http://schemas.openxmlformats.org/spreadsheetml/2006/main" count="1912" uniqueCount="234">
  <si>
    <t>Score</t>
  </si>
  <si>
    <t>Diff</t>
  </si>
  <si>
    <t>Total</t>
  </si>
  <si>
    <t>Current Rank</t>
  </si>
  <si>
    <t>NewTotal</t>
  </si>
  <si>
    <t>New Diff</t>
  </si>
  <si>
    <t>New Rank</t>
  </si>
  <si>
    <t>Home Team</t>
  </si>
  <si>
    <t>Away Team</t>
  </si>
  <si>
    <t>Winner</t>
  </si>
  <si>
    <t>Win Count</t>
  </si>
  <si>
    <t>Spec Count</t>
  </si>
  <si>
    <t>Spec L</t>
  </si>
  <si>
    <t>Movement</t>
  </si>
  <si>
    <t>p</t>
  </si>
  <si>
    <t>q</t>
  </si>
  <si>
    <t>u</t>
  </si>
  <si>
    <t>Places</t>
  </si>
  <si>
    <t>+/- Score</t>
  </si>
  <si>
    <t>Perfect</t>
  </si>
  <si>
    <t>Standout</t>
  </si>
  <si>
    <t>Main Competition</t>
  </si>
  <si>
    <t>Input Scores</t>
  </si>
  <si>
    <t>Total Tipsters:</t>
  </si>
  <si>
    <t>Tips Received:</t>
  </si>
  <si>
    <t>norm h</t>
  </si>
  <si>
    <t>norm a</t>
  </si>
  <si>
    <t>spec h</t>
  </si>
  <si>
    <t>spec a</t>
  </si>
  <si>
    <t>h%</t>
  </si>
  <si>
    <t>a%</t>
  </si>
  <si>
    <t>h spec%</t>
  </si>
  <si>
    <t>a spec%</t>
  </si>
  <si>
    <t>h</t>
  </si>
  <si>
    <t>a</t>
  </si>
  <si>
    <t>Standouts:</t>
  </si>
  <si>
    <t>Select Chart Type:</t>
  </si>
  <si>
    <t>Results Calculator</t>
  </si>
  <si>
    <t>Perfect Round</t>
  </si>
  <si>
    <t>o/s spec</t>
  </si>
  <si>
    <t>spec corr</t>
  </si>
  <si>
    <t>Total Tipsters</t>
  </si>
  <si>
    <t>spec incorr</t>
  </si>
  <si>
    <t>Games</t>
  </si>
  <si>
    <t>Total Recd</t>
  </si>
  <si>
    <t>Game Stats</t>
  </si>
  <si>
    <t>RD</t>
  </si>
  <si>
    <t>Spec Recd</t>
  </si>
  <si>
    <t>Standouts</t>
  </si>
  <si>
    <t>Listbox</t>
  </si>
  <si>
    <t>Recd</t>
  </si>
  <si>
    <t>S</t>
  </si>
  <si>
    <t>perfect</t>
  </si>
  <si>
    <t>Run Tot</t>
  </si>
  <si>
    <t>Select Winner - Game 1:</t>
  </si>
  <si>
    <t>Select Winner - Game 2:</t>
  </si>
  <si>
    <t>Select Winner - Game 3:</t>
  </si>
  <si>
    <t>Select Winner - Game 4:</t>
  </si>
  <si>
    <t>New Rank Score</t>
  </si>
  <si>
    <t>Current Rank Score</t>
  </si>
  <si>
    <t>Player ID</t>
  </si>
  <si>
    <t>Player</t>
  </si>
  <si>
    <t>IF(AM4="","",BT4+(BU4/100000)+(AM4/1000000000))</t>
  </si>
  <si>
    <t>Missing Tips Score</t>
  </si>
  <si>
    <t>Missing Score Diff</t>
  </si>
  <si>
    <t>Min Score</t>
  </si>
  <si>
    <t>Min Diff</t>
  </si>
  <si>
    <t>Ranking</t>
  </si>
  <si>
    <t>This Round</t>
  </si>
  <si>
    <t>Tipster</t>
  </si>
  <si>
    <t>ü</t>
  </si>
  <si>
    <t>û</t>
  </si>
  <si>
    <t>New Score</t>
  </si>
  <si>
    <t>+ Diff</t>
  </si>
  <si>
    <t>My Stats</t>
  </si>
  <si>
    <t>Select Tipster</t>
  </si>
  <si>
    <t>Draw</t>
  </si>
  <si>
    <t>Stats Score</t>
  </si>
  <si>
    <t>Stats S/out</t>
  </si>
  <si>
    <t>Spec Game</t>
  </si>
  <si>
    <t>O/S Games</t>
  </si>
  <si>
    <t>O/S S/out</t>
  </si>
  <si>
    <t>Perfect Rd</t>
  </si>
  <si>
    <t>Total Score</t>
  </si>
  <si>
    <t/>
  </si>
  <si>
    <t>Rank</t>
  </si>
  <si>
    <t>D/Down Id</t>
  </si>
  <si>
    <t>Positions</t>
  </si>
  <si>
    <t>Name</t>
  </si>
  <si>
    <t>Scroll bar</t>
  </si>
  <si>
    <t>H</t>
  </si>
  <si>
    <t>I</t>
  </si>
  <si>
    <t>D</t>
  </si>
  <si>
    <t>E</t>
  </si>
  <si>
    <t>C</t>
  </si>
  <si>
    <t>O</t>
  </si>
  <si>
    <t>L</t>
  </si>
  <si>
    <t>U</t>
  </si>
  <si>
    <t>M</t>
  </si>
  <si>
    <t>N</t>
  </si>
  <si>
    <t>T</t>
  </si>
  <si>
    <t xml:space="preserve"> </t>
  </si>
  <si>
    <t>Game</t>
  </si>
  <si>
    <t>Reset Protection</t>
  </si>
  <si>
    <t>Calc Reset</t>
  </si>
  <si>
    <t>Tips Rec'd</t>
  </si>
  <si>
    <t>Game1 Col</t>
  </si>
  <si>
    <t>Game2 Col</t>
  </si>
  <si>
    <t>Game3 Col</t>
  </si>
  <si>
    <t>Game4 Col</t>
  </si>
  <si>
    <t>Game5 Col</t>
  </si>
  <si>
    <t>Game6 Col</t>
  </si>
  <si>
    <t>Game7 Col</t>
  </si>
  <si>
    <t>Game 8 Col</t>
  </si>
  <si>
    <t>Special</t>
  </si>
  <si>
    <t>Ladder</t>
  </si>
  <si>
    <t>Differential</t>
  </si>
  <si>
    <t>Home</t>
  </si>
  <si>
    <t>Away</t>
  </si>
  <si>
    <t>Details</t>
  </si>
  <si>
    <t>Round</t>
  </si>
  <si>
    <t>Panthers</t>
  </si>
  <si>
    <t>Dragons</t>
  </si>
  <si>
    <t>Sharks</t>
  </si>
  <si>
    <t>Broncos</t>
  </si>
  <si>
    <t>Storm</t>
  </si>
  <si>
    <t>Sea Eagles</t>
  </si>
  <si>
    <t>Rabbitohs</t>
  </si>
  <si>
    <t>Cowboys</t>
  </si>
  <si>
    <t>Raiders</t>
  </si>
  <si>
    <t>Warriors</t>
  </si>
  <si>
    <t>Bulldogs</t>
  </si>
  <si>
    <t>Wests Tigers</t>
  </si>
  <si>
    <t>Sunday 4:00PM AEST</t>
  </si>
  <si>
    <t>Black Cat</t>
  </si>
  <si>
    <t>Bruisers</t>
  </si>
  <si>
    <t>Fire</t>
  </si>
  <si>
    <t>Kane G</t>
  </si>
  <si>
    <t>Mr Taylor</t>
  </si>
  <si>
    <t>Murch</t>
  </si>
  <si>
    <t>Plugger</t>
  </si>
  <si>
    <t>Ross Hickman</t>
  </si>
  <si>
    <t>sculkin</t>
  </si>
  <si>
    <t>Smog</t>
  </si>
  <si>
    <t>The Creator</t>
  </si>
  <si>
    <t>U_J</t>
  </si>
  <si>
    <t>Eels</t>
  </si>
  <si>
    <t>Roosters</t>
  </si>
  <si>
    <t>26.7</t>
  </si>
  <si>
    <t>Live Ladder</t>
  </si>
  <si>
    <t>9986</t>
  </si>
  <si>
    <t>Ad</t>
  </si>
  <si>
    <t>Adel Messih</t>
  </si>
  <si>
    <t>Admireel</t>
  </si>
  <si>
    <t>Bart Simpson</t>
  </si>
  <si>
    <t>Big Baba</t>
  </si>
  <si>
    <t>Big Moose</t>
  </si>
  <si>
    <t>BillyB</t>
  </si>
  <si>
    <t>blakey94</t>
  </si>
  <si>
    <t>Bridie</t>
  </si>
  <si>
    <t>Budgie</t>
  </si>
  <si>
    <t>Carlos</t>
  </si>
  <si>
    <t>Chunka</t>
  </si>
  <si>
    <t>Craig Young's Love Child</t>
  </si>
  <si>
    <t>Cruella</t>
  </si>
  <si>
    <t>Fouad Khochaiche</t>
  </si>
  <si>
    <t>gdadisho</t>
  </si>
  <si>
    <t>GeorgeTheDragon</t>
  </si>
  <si>
    <t>Guru2810</t>
  </si>
  <si>
    <t>I miss Benji</t>
  </si>
  <si>
    <t>isha68</t>
  </si>
  <si>
    <t>iTerry</t>
  </si>
  <si>
    <t>Krusty</t>
  </si>
  <si>
    <t>Lou</t>
  </si>
  <si>
    <t>Lukebrooksbiggestfan</t>
  </si>
  <si>
    <t>Magnum</t>
  </si>
  <si>
    <t>Matt Brownie</t>
  </si>
  <si>
    <t>MB</t>
  </si>
  <si>
    <t>Michael Wu</t>
  </si>
  <si>
    <t>Micrider</t>
  </si>
  <si>
    <t>MJP181</t>
  </si>
  <si>
    <t>MLC</t>
  </si>
  <si>
    <t>MR. TAYLOR</t>
  </si>
  <si>
    <t>murch</t>
  </si>
  <si>
    <t>Neville</t>
  </si>
  <si>
    <t>NotLast</t>
  </si>
  <si>
    <t>Pablo</t>
  </si>
  <si>
    <t>Panthers29</t>
  </si>
  <si>
    <t>Robert Cook</t>
  </si>
  <si>
    <t>Rossco the Pom</t>
  </si>
  <si>
    <t>Runner</t>
  </si>
  <si>
    <t>Seano</t>
  </si>
  <si>
    <t>Shagger</t>
  </si>
  <si>
    <t>SMOG</t>
  </si>
  <si>
    <t>Splinter</t>
  </si>
  <si>
    <t>Stallion</t>
  </si>
  <si>
    <t>TheZipZipMan</t>
  </si>
  <si>
    <t>Timbo</t>
  </si>
  <si>
    <t>Tripod</t>
  </si>
  <si>
    <t>UpthePamfers</t>
  </si>
  <si>
    <t>Westy</t>
  </si>
  <si>
    <t>Wiley C</t>
  </si>
  <si>
    <t>Yackas</t>
  </si>
  <si>
    <t>***Footy Tipper***</t>
  </si>
  <si>
    <t>Game 1</t>
  </si>
  <si>
    <t>Game 2</t>
  </si>
  <si>
    <t>Game 3</t>
  </si>
  <si>
    <t>Game 4</t>
  </si>
  <si>
    <t>Game 5</t>
  </si>
  <si>
    <t>Game 6</t>
  </si>
  <si>
    <t>Game 7</t>
  </si>
  <si>
    <t>Game 8</t>
  </si>
  <si>
    <t>VLOOKUP(P13,Engine!A:H,8,FALSE)</t>
  </si>
  <si>
    <t>Drop Down Id</t>
  </si>
  <si>
    <t>All Tipsters</t>
  </si>
  <si>
    <t>7.1</t>
  </si>
  <si>
    <t>Thu  AEST</t>
  </si>
  <si>
    <t>7.2</t>
  </si>
  <si>
    <t>Fri  AEST</t>
  </si>
  <si>
    <t>Titans</t>
  </si>
  <si>
    <t>7.3</t>
  </si>
  <si>
    <t>Dolphins</t>
  </si>
  <si>
    <t>Active Players</t>
  </si>
  <si>
    <t>Knights</t>
  </si>
  <si>
    <t>7.4</t>
  </si>
  <si>
    <t>Sat  AEST</t>
  </si>
  <si>
    <t>7.5</t>
  </si>
  <si>
    <t>7.6</t>
  </si>
  <si>
    <t>Sun  AEST</t>
  </si>
  <si>
    <t>7.7</t>
  </si>
  <si>
    <t>7.8</t>
  </si>
  <si>
    <t>Mon  AEST</t>
  </si>
  <si>
    <t>ZZZZZZ Suspend</t>
  </si>
  <si>
    <t>No Tips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</si>
</sst>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000"/>
  </numFmts>
  <fonts count="54" x14ac:knownFonts="1">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sz val="10"/>
      <name val="Arial"/>
      <family val="2"/>
    </font>
    <font>
      <sz val="10"/>
      <name val="Wingdings 3"/>
      <family val="1"/>
      <charset val="2"/>
    </font>
    <font>
      <sz val="11"/>
      <color theme="0"/>
      <name val="Wingdings 3"/>
      <family val="1"/>
      <charset val="2"/>
    </font>
    <font>
      <b/>
      <sz val="10"/>
      <name val="Verdana"/>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0"/>
      <color indexed="9"/>
      <name val="Arial"/>
      <family val="2"/>
    </font>
    <font>
      <b/>
      <sz val="14"/>
      <name val="Verdana"/>
      <family val="2"/>
    </font>
    <font>
      <sz val="10"/>
      <name val="Verdana"/>
      <family val="2"/>
    </font>
    <font>
      <b/>
      <sz val="10"/>
      <color indexed="9"/>
      <name val="Arial"/>
      <family val="2"/>
    </font>
    <font>
      <sz val="8"/>
      <name val="Arial"/>
      <family val="2"/>
    </font>
    <font>
      <sz val="10"/>
      <color indexed="10"/>
      <name val="Arial"/>
      <family val="2"/>
    </font>
    <font>
      <b/>
      <sz val="10"/>
      <name val="Arial"/>
      <family val="2"/>
    </font>
    <font>
      <b/>
      <sz val="10"/>
      <color indexed="10"/>
      <name val="Verdana"/>
      <family val="2"/>
    </font>
    <font>
      <b/>
      <sz val="8"/>
      <name val="Arial"/>
      <family val="2"/>
    </font>
    <font>
      <sz val="11"/>
      <name val="Calibri"/>
      <family val="2"/>
      <scheme val="minor"/>
    </font>
    <font>
      <b/>
      <sz val="11"/>
      <color rgb="FF00B050"/>
      <name val="Wingdings"/>
      <charset val="2"/>
    </font>
    <font>
      <b/>
      <sz val="11"/>
      <name val="Arial"/>
      <family val="2"/>
    </font>
    <font>
      <sz val="11"/>
      <color rgb="FF9C0006"/>
      <name val="Calibri"/>
      <family val="2"/>
      <scheme val="minor"/>
    </font>
    <font>
      <sz val="11"/>
      <color rgb="FFFF0000"/>
      <name val="Calibri"/>
      <family val="2"/>
    </font>
    <font>
      <sz val="10"/>
      <color rgb="FFFF0000"/>
      <name val="Arial"/>
      <family val="2"/>
    </font>
    <font>
      <sz val="10"/>
      <color theme="0"/>
      <name val="Arial"/>
      <family val="2"/>
    </font>
    <font>
      <sz val="11"/>
      <color theme="0"/>
      <name val="Calibri"/>
      <family val="2"/>
    </font>
    <font>
      <sz val="11"/>
      <color rgb="FFFF0000"/>
      <name val="Calibri"/>
      <family val="2"/>
      <scheme val="minor"/>
    </font>
    <font>
      <b/>
      <sz val="11"/>
      <color rgb="FFFF0000"/>
      <name val="Calibri"/>
      <family val="2"/>
      <scheme val="minor"/>
    </font>
    <font>
      <b/>
      <sz val="8"/>
      <color rgb="FFFF0000"/>
      <name val="Arial"/>
      <family val="2"/>
    </font>
    <font>
      <b/>
      <sz val="11"/>
      <name val="Calibri"/>
      <family val="2"/>
      <scheme val="minor"/>
    </font>
    <font>
      <b/>
      <sz val="11"/>
      <color theme="0"/>
      <name val="Wingdings 3"/>
      <family val="1"/>
      <charset val="2"/>
    </font>
    <font>
      <sz val="11"/>
      <name val="Wingdings"/>
      <charset val="2"/>
    </font>
    <font>
      <sz val="10"/>
      <name val="Arial"/>
      <family val="2"/>
    </font>
    <font>
      <b/>
      <sz val="10"/>
      <color theme="0"/>
      <name val="Arial"/>
      <family val="2"/>
    </font>
    <font>
      <sz val="10"/>
      <color rgb="FFFF0000"/>
      <name val="Verdana"/>
      <family val="2"/>
    </font>
    <font>
      <sz val="8"/>
      <name val="Calibri"/>
      <family val="2"/>
      <scheme val="minor"/>
    </font>
    <font>
      <b/>
      <sz val="16"/>
      <color theme="1"/>
      <name val="Calibri"/>
      <family val="2"/>
      <scheme val="minor"/>
    </font>
  </fonts>
  <fills count="37">
    <fill>
      <patternFill patternType="none"/>
    </fill>
    <fill>
      <patternFill patternType="gray125"/>
    </fill>
    <fill>
      <patternFill patternType="solid">
        <fgColor rgb="FF0070C0"/>
        <bgColor indexed="64"/>
      </patternFill>
    </fill>
    <fill>
      <patternFill patternType="solid">
        <fgColor rgb="FF00B0F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8"/>
        <bgColor indexed="64"/>
      </patternFill>
    </fill>
    <fill>
      <patternFill patternType="solid">
        <fgColor indexed="13"/>
        <bgColor indexed="64"/>
      </patternFill>
    </fill>
    <fill>
      <patternFill patternType="solid">
        <fgColor indexed="44"/>
        <bgColor indexed="64"/>
      </patternFill>
    </fill>
    <fill>
      <patternFill patternType="solid">
        <fgColor indexed="31"/>
        <bgColor indexed="64"/>
      </patternFill>
    </fill>
    <fill>
      <patternFill patternType="solid">
        <fgColor rgb="FFFFFF00"/>
        <bgColor indexed="64"/>
      </patternFill>
    </fill>
    <fill>
      <patternFill patternType="solid">
        <fgColor rgb="FFFFC7CE"/>
      </patternFill>
    </fill>
    <fill>
      <patternFill patternType="solid">
        <fgColor theme="1"/>
        <bgColor indexed="64"/>
      </patternFill>
    </fill>
    <fill>
      <patternFill patternType="solid">
        <fgColor theme="0"/>
        <bgColor indexed="64"/>
      </patternFill>
    </fill>
    <fill>
      <patternFill patternType="solid">
        <fgColor rgb="FF92D050"/>
        <bgColor indexed="64"/>
      </patternFill>
    </fill>
    <fill>
      <patternFill patternType="solid">
        <fgColor theme="8" tint="0.79998168889431442"/>
        <bgColor theme="8" tint="0.79998168889431442"/>
      </patternFill>
    </fill>
    <fill>
      <patternFill patternType="solid">
        <fgColor theme="4"/>
        <bgColor theme="8" tint="0.79998168889431442"/>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thin">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style="thin">
        <color theme="0"/>
      </left>
      <right style="thin">
        <color theme="0"/>
      </right>
      <top style="thin">
        <color theme="0"/>
      </top>
      <bottom style="thin">
        <color theme="0"/>
      </bottom>
      <diagonal/>
    </border>
    <border>
      <left/>
      <right style="thin">
        <color theme="0"/>
      </right>
      <top/>
      <bottom/>
      <diagonal/>
    </border>
    <border>
      <left style="thin">
        <color theme="0"/>
      </left>
      <right style="thin">
        <color theme="0"/>
      </right>
      <top/>
      <bottom/>
      <diagonal/>
    </border>
    <border>
      <left style="thin">
        <color theme="0"/>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theme="8" tint="0.39997558519241921"/>
      </top>
      <bottom/>
      <diagonal/>
    </border>
  </borders>
  <cellStyleXfs count="54">
    <xf numFmtId="0" fontId="0" fillId="0" borderId="0"/>
    <xf numFmtId="0" fontId="8" fillId="0" borderId="0"/>
    <xf numFmtId="0" fontId="9" fillId="4" borderId="0" applyNumberFormat="0" applyBorder="0" applyAlignment="0" applyProtection="0"/>
    <xf numFmtId="0" fontId="9" fillId="5" borderId="0" applyNumberFormat="0" applyBorder="0" applyAlignment="0" applyProtection="0"/>
    <xf numFmtId="0" fontId="9" fillId="6" borderId="0" applyNumberFormat="0" applyBorder="0" applyAlignment="0" applyProtection="0"/>
    <xf numFmtId="0" fontId="9" fillId="7" borderId="0" applyNumberFormat="0" applyBorder="0" applyAlignment="0" applyProtection="0"/>
    <xf numFmtId="0" fontId="9" fillId="8"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1" borderId="0" applyNumberFormat="0" applyBorder="0" applyAlignment="0" applyProtection="0"/>
    <xf numFmtId="0" fontId="9" fillId="12" borderId="0" applyNumberFormat="0" applyBorder="0" applyAlignment="0" applyProtection="0"/>
    <xf numFmtId="0" fontId="9" fillId="7" borderId="0" applyNumberFormat="0" applyBorder="0" applyAlignment="0" applyProtection="0"/>
    <xf numFmtId="0" fontId="9" fillId="10" borderId="0" applyNumberFormat="0" applyBorder="0" applyAlignment="0" applyProtection="0"/>
    <xf numFmtId="0" fontId="9" fillId="13" borderId="0" applyNumberFormat="0" applyBorder="0" applyAlignment="0" applyProtection="0"/>
    <xf numFmtId="0" fontId="10" fillId="14" borderId="0" applyNumberFormat="0" applyBorder="0" applyAlignment="0" applyProtection="0"/>
    <xf numFmtId="0" fontId="10" fillId="11" borderId="0" applyNumberFormat="0" applyBorder="0" applyAlignment="0" applyProtection="0"/>
    <xf numFmtId="0" fontId="10" fillId="12"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0"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10" fillId="21" borderId="0" applyNumberFormat="0" applyBorder="0" applyAlignment="0" applyProtection="0"/>
    <xf numFmtId="0" fontId="11" fillId="5" borderId="0" applyNumberFormat="0" applyBorder="0" applyAlignment="0" applyProtection="0"/>
    <xf numFmtId="0" fontId="12" fillId="22" borderId="2" applyNumberFormat="0" applyAlignment="0" applyProtection="0"/>
    <xf numFmtId="0" fontId="13" fillId="23" borderId="3" applyNumberFormat="0" applyAlignment="0" applyProtection="0"/>
    <xf numFmtId="0" fontId="14" fillId="0" borderId="0" applyNumberFormat="0" applyFill="0" applyBorder="0" applyAlignment="0" applyProtection="0"/>
    <xf numFmtId="0" fontId="15" fillId="6" borderId="0" applyNumberFormat="0" applyBorder="0" applyAlignment="0" applyProtection="0"/>
    <xf numFmtId="0" fontId="16" fillId="0" borderId="4" applyNumberFormat="0" applyFill="0" applyAlignment="0" applyProtection="0"/>
    <xf numFmtId="0" fontId="17" fillId="0" borderId="5" applyNumberFormat="0" applyFill="0" applyAlignment="0" applyProtection="0"/>
    <xf numFmtId="0" fontId="18" fillId="0" borderId="6" applyNumberFormat="0" applyFill="0" applyAlignment="0" applyProtection="0"/>
    <xf numFmtId="0" fontId="18" fillId="0" borderId="0" applyNumberFormat="0" applyFill="0" applyBorder="0" applyAlignment="0" applyProtection="0"/>
    <xf numFmtId="0" fontId="19" fillId="9" borderId="2" applyNumberFormat="0" applyAlignment="0" applyProtection="0"/>
    <xf numFmtId="0" fontId="20" fillId="0" borderId="7" applyNumberFormat="0" applyFill="0" applyAlignment="0" applyProtection="0"/>
    <xf numFmtId="0" fontId="21" fillId="24" borderId="0" applyNumberFormat="0" applyBorder="0" applyAlignment="0" applyProtection="0"/>
    <xf numFmtId="0" fontId="4" fillId="0" borderId="0"/>
    <xf numFmtId="0" fontId="4" fillId="0" borderId="0"/>
    <xf numFmtId="0" fontId="4" fillId="0" borderId="0"/>
    <xf numFmtId="0" fontId="4" fillId="0" borderId="0"/>
    <xf numFmtId="0" fontId="9" fillId="0" borderId="0"/>
    <xf numFmtId="0" fontId="9" fillId="0" borderId="0"/>
    <xf numFmtId="0" fontId="4" fillId="25" borderId="8" applyNumberFormat="0" applyFont="0" applyAlignment="0" applyProtection="0"/>
    <xf numFmtId="0" fontId="22" fillId="22" borderId="9" applyNumberFormat="0" applyAlignment="0" applyProtection="0"/>
    <xf numFmtId="0" fontId="23" fillId="0" borderId="0" applyNumberFormat="0" applyFill="0" applyBorder="0" applyAlignment="0" applyProtection="0"/>
    <xf numFmtId="0" fontId="24" fillId="0" borderId="10" applyNumberFormat="0" applyFill="0" applyAlignment="0" applyProtection="0"/>
    <xf numFmtId="0" fontId="25" fillId="0" borderId="0" applyNumberFormat="0" applyFill="0" applyBorder="0" applyAlignment="0" applyProtection="0"/>
    <xf numFmtId="9" fontId="8" fillId="0" borderId="0" applyFont="0" applyFill="0" applyBorder="0" applyAlignment="0" applyProtection="0"/>
    <xf numFmtId="0" fontId="4" fillId="0" borderId="0"/>
    <xf numFmtId="9" fontId="4" fillId="0" borderId="0" applyFont="0" applyFill="0" applyBorder="0" applyAlignment="0" applyProtection="0"/>
    <xf numFmtId="0" fontId="38" fillId="31" borderId="0" applyNumberFormat="0" applyBorder="0" applyAlignment="0" applyProtection="0"/>
    <xf numFmtId="0" fontId="49" fillId="0" borderId="0"/>
  </cellStyleXfs>
  <cellXfs count="149">
    <xf numFmtId="0" fontId="0" fillId="0" borderId="0" xfId="0"/>
    <xf numFmtId="0" fontId="0" fillId="0" borderId="0" xfId="0" applyAlignment="1">
      <alignment horizontal="center"/>
    </xf>
    <xf numFmtId="0" fontId="4" fillId="0" borderId="0" xfId="0" applyFont="1" applyAlignment="1" applyProtection="1">
      <alignment horizontal="center"/>
      <protection hidden="1"/>
    </xf>
    <xf numFmtId="0" fontId="5" fillId="0" borderId="0" xfId="0" applyFont="1"/>
    <xf numFmtId="9" fontId="4" fillId="0" borderId="15" xfId="51" applyBorder="1" applyAlignment="1">
      <alignment horizontal="left"/>
    </xf>
    <xf numFmtId="0" fontId="35" fillId="0" borderId="0" xfId="0" applyFont="1"/>
    <xf numFmtId="0" fontId="35" fillId="0" borderId="0" xfId="0" applyFont="1" applyAlignment="1">
      <alignment horizontal="center"/>
    </xf>
    <xf numFmtId="0" fontId="32" fillId="29" borderId="21" xfId="0" applyFont="1" applyFill="1" applyBorder="1" applyAlignment="1" applyProtection="1">
      <alignment horizontal="center" vertical="center"/>
      <protection hidden="1"/>
    </xf>
    <xf numFmtId="0" fontId="4" fillId="29" borderId="21" xfId="0" applyFont="1" applyFill="1" applyBorder="1" applyAlignment="1" applyProtection="1">
      <alignment horizontal="center" vertical="center"/>
      <protection hidden="1"/>
    </xf>
    <xf numFmtId="0" fontId="4" fillId="0" borderId="21" xfId="0" applyFont="1" applyBorder="1" applyAlignment="1" applyProtection="1">
      <alignment horizontal="center" vertical="center"/>
      <protection hidden="1"/>
    </xf>
    <xf numFmtId="0" fontId="0" fillId="30" borderId="0" xfId="0" applyFill="1"/>
    <xf numFmtId="0" fontId="4" fillId="30" borderId="0" xfId="0" applyFont="1" applyFill="1" applyAlignment="1" applyProtection="1">
      <alignment horizontal="center"/>
      <protection hidden="1"/>
    </xf>
    <xf numFmtId="0" fontId="4" fillId="0" borderId="0" xfId="38"/>
    <xf numFmtId="0" fontId="39" fillId="0" borderId="0" xfId="52" applyFont="1" applyFill="1"/>
    <xf numFmtId="0" fontId="40" fillId="0" borderId="0" xfId="38" applyFont="1"/>
    <xf numFmtId="0" fontId="4" fillId="0" borderId="0" xfId="38" applyAlignment="1">
      <alignment horizontal="left"/>
    </xf>
    <xf numFmtId="0" fontId="4" fillId="0" borderId="0" xfId="38" applyAlignment="1">
      <alignment horizontal="center"/>
    </xf>
    <xf numFmtId="0" fontId="4" fillId="0" borderId="0" xfId="38" applyProtection="1">
      <protection hidden="1"/>
    </xf>
    <xf numFmtId="0" fontId="4" fillId="0" borderId="0" xfId="38" applyAlignment="1" applyProtection="1">
      <alignment horizontal="left"/>
      <protection hidden="1"/>
    </xf>
    <xf numFmtId="0" fontId="28" fillId="0" borderId="0" xfId="38" applyFont="1" applyProtection="1">
      <protection hidden="1"/>
    </xf>
    <xf numFmtId="0" fontId="41" fillId="0" borderId="0" xfId="38" applyFont="1" applyAlignment="1">
      <alignment horizontal="left"/>
    </xf>
    <xf numFmtId="0" fontId="4" fillId="0" borderId="18" xfId="38" applyBorder="1"/>
    <xf numFmtId="0" fontId="4" fillId="0" borderId="18" xfId="38" applyBorder="1" applyAlignment="1">
      <alignment horizontal="left"/>
    </xf>
    <xf numFmtId="0" fontId="4" fillId="0" borderId="18" xfId="38" applyBorder="1" applyProtection="1">
      <protection hidden="1"/>
    </xf>
    <xf numFmtId="0" fontId="4" fillId="0" borderId="17" xfId="38" applyBorder="1"/>
    <xf numFmtId="0" fontId="4" fillId="0" borderId="14" xfId="38" applyBorder="1"/>
    <xf numFmtId="0" fontId="4" fillId="26" borderId="0" xfId="38" applyFill="1" applyAlignment="1">
      <alignment horizontal="left"/>
    </xf>
    <xf numFmtId="0" fontId="4" fillId="26" borderId="0" xfId="38" applyFill="1"/>
    <xf numFmtId="0" fontId="4" fillId="0" borderId="1" xfId="38" applyBorder="1" applyAlignment="1" applyProtection="1">
      <alignment horizontal="center"/>
      <protection locked="0" hidden="1"/>
    </xf>
    <xf numFmtId="0" fontId="29" fillId="26" borderId="0" xfId="38" applyFont="1" applyFill="1" applyAlignment="1">
      <alignment horizontal="center"/>
    </xf>
    <xf numFmtId="0" fontId="28" fillId="0" borderId="0" xfId="38" applyFont="1" applyAlignment="1">
      <alignment horizontal="center"/>
    </xf>
    <xf numFmtId="0" fontId="28" fillId="0" borderId="0" xfId="38" applyFont="1" applyAlignment="1">
      <alignment horizontal="left"/>
    </xf>
    <xf numFmtId="0" fontId="29" fillId="26" borderId="0" xfId="38" applyFont="1" applyFill="1" applyAlignment="1">
      <alignment horizontal="left"/>
    </xf>
    <xf numFmtId="0" fontId="4" fillId="0" borderId="0" xfId="38" applyAlignment="1" applyProtection="1">
      <alignment horizontal="center"/>
      <protection hidden="1"/>
    </xf>
    <xf numFmtId="0" fontId="4" fillId="0" borderId="14" xfId="38" applyBorder="1" applyAlignment="1">
      <alignment horizontal="center"/>
    </xf>
    <xf numFmtId="0" fontId="28" fillId="0" borderId="0" xfId="38" applyFont="1" applyAlignment="1" applyProtection="1">
      <alignment horizontal="center"/>
      <protection hidden="1"/>
    </xf>
    <xf numFmtId="0" fontId="33" fillId="0" borderId="0" xfId="38" applyFont="1" applyAlignment="1" applyProtection="1">
      <alignment horizontal="left"/>
      <protection hidden="1"/>
    </xf>
    <xf numFmtId="0" fontId="28" fillId="28" borderId="0" xfId="38" applyFont="1" applyFill="1" applyAlignment="1" applyProtection="1">
      <alignment horizontal="center"/>
      <protection hidden="1"/>
    </xf>
    <xf numFmtId="0" fontId="33" fillId="28" borderId="0" xfId="38" applyFont="1" applyFill="1" applyAlignment="1" applyProtection="1">
      <alignment horizontal="left"/>
      <protection hidden="1"/>
    </xf>
    <xf numFmtId="0" fontId="7" fillId="28" borderId="0" xfId="38" applyFont="1" applyFill="1" applyAlignment="1" applyProtection="1">
      <alignment horizontal="left"/>
      <protection hidden="1"/>
    </xf>
    <xf numFmtId="9" fontId="29" fillId="26" borderId="0" xfId="38" applyNumberFormat="1" applyFont="1" applyFill="1"/>
    <xf numFmtId="0" fontId="32" fillId="0" borderId="0" xfId="38" applyFont="1" applyAlignment="1" applyProtection="1">
      <alignment horizontal="left"/>
      <protection hidden="1"/>
    </xf>
    <xf numFmtId="0" fontId="4" fillId="28" borderId="0" xfId="38" applyFill="1" applyProtection="1">
      <protection hidden="1"/>
    </xf>
    <xf numFmtId="0" fontId="32" fillId="28" borderId="0" xfId="38" applyFont="1" applyFill="1" applyAlignment="1" applyProtection="1">
      <alignment horizontal="left"/>
      <protection hidden="1"/>
    </xf>
    <xf numFmtId="0" fontId="7" fillId="0" borderId="0" xfId="38" applyFont="1" applyAlignment="1" applyProtection="1">
      <alignment horizontal="left"/>
      <protection hidden="1"/>
    </xf>
    <xf numFmtId="0" fontId="7" fillId="27" borderId="0" xfId="38" applyFont="1" applyFill="1" applyAlignment="1" applyProtection="1">
      <alignment horizontal="left"/>
      <protection hidden="1"/>
    </xf>
    <xf numFmtId="0" fontId="32" fillId="27" borderId="14" xfId="38" applyFont="1" applyFill="1" applyBorder="1"/>
    <xf numFmtId="0" fontId="28" fillId="0" borderId="0" xfId="38" applyFont="1" applyAlignment="1" applyProtection="1">
      <alignment horizontal="left"/>
      <protection hidden="1"/>
    </xf>
    <xf numFmtId="0" fontId="4" fillId="0" borderId="15" xfId="38" applyBorder="1"/>
    <xf numFmtId="0" fontId="30" fillId="26" borderId="0" xfId="38" applyFont="1" applyFill="1" applyAlignment="1">
      <alignment horizontal="center"/>
    </xf>
    <xf numFmtId="0" fontId="30" fillId="0" borderId="0" xfId="38" applyFont="1" applyAlignment="1">
      <alignment horizontal="center"/>
    </xf>
    <xf numFmtId="0" fontId="30" fillId="26" borderId="0" xfId="38" applyFont="1" applyFill="1" applyAlignment="1">
      <alignment horizontal="left"/>
    </xf>
    <xf numFmtId="0" fontId="4" fillId="0" borderId="13" xfId="38" applyBorder="1"/>
    <xf numFmtId="0" fontId="41" fillId="0" borderId="0" xfId="38" applyFont="1"/>
    <xf numFmtId="0" fontId="42" fillId="0" borderId="0" xfId="52" applyFont="1" applyFill="1"/>
    <xf numFmtId="0" fontId="41" fillId="0" borderId="14" xfId="38" applyFont="1" applyBorder="1" applyAlignment="1">
      <alignment horizontal="center"/>
    </xf>
    <xf numFmtId="0" fontId="41" fillId="0" borderId="14" xfId="38" applyFont="1" applyBorder="1"/>
    <xf numFmtId="0" fontId="41" fillId="0" borderId="0" xfId="38" applyFont="1" applyProtection="1">
      <protection hidden="1"/>
    </xf>
    <xf numFmtId="0" fontId="3" fillId="0" borderId="0" xfId="0" applyFont="1" applyProtection="1">
      <protection hidden="1"/>
    </xf>
    <xf numFmtId="0" fontId="2" fillId="0" borderId="0" xfId="0" applyFont="1" applyAlignment="1" applyProtection="1">
      <alignment horizontal="left"/>
      <protection hidden="1"/>
    </xf>
    <xf numFmtId="0" fontId="0" fillId="0" borderId="0" xfId="0" applyAlignment="1" applyProtection="1">
      <alignment horizontal="center"/>
      <protection hidden="1"/>
    </xf>
    <xf numFmtId="0" fontId="0" fillId="0" borderId="0" xfId="0" applyProtection="1">
      <protection hidden="1"/>
    </xf>
    <xf numFmtId="0" fontId="34" fillId="0" borderId="0" xfId="0" applyFont="1" applyAlignment="1" applyProtection="1">
      <alignment horizontal="center" vertical="top"/>
      <protection hidden="1"/>
    </xf>
    <xf numFmtId="0" fontId="1" fillId="2" borderId="0" xfId="0" applyFont="1" applyFill="1" applyAlignment="1" applyProtection="1">
      <alignment horizontal="center"/>
      <protection hidden="1"/>
    </xf>
    <xf numFmtId="0" fontId="1" fillId="0" borderId="0" xfId="0" applyFont="1" applyAlignment="1" applyProtection="1">
      <alignment horizontal="center"/>
      <protection hidden="1"/>
    </xf>
    <xf numFmtId="0" fontId="1" fillId="0" borderId="0" xfId="0" applyFont="1" applyProtection="1">
      <protection hidden="1"/>
    </xf>
    <xf numFmtId="0" fontId="34" fillId="0" borderId="0" xfId="0" quotePrefix="1" applyFont="1" applyAlignment="1" applyProtection="1">
      <alignment horizontal="center" vertical="top"/>
      <protection hidden="1"/>
    </xf>
    <xf numFmtId="0" fontId="37" fillId="0" borderId="0" xfId="0" applyFont="1" applyAlignment="1" applyProtection="1">
      <alignment horizontal="left" vertical="top"/>
      <protection hidden="1"/>
    </xf>
    <xf numFmtId="0" fontId="3" fillId="0" borderId="0" xfId="0" applyFont="1" applyAlignment="1" applyProtection="1">
      <alignment horizontal="center"/>
      <protection hidden="1"/>
    </xf>
    <xf numFmtId="0" fontId="6" fillId="3" borderId="21" xfId="0" applyFont="1" applyFill="1" applyBorder="1" applyAlignment="1" applyProtection="1">
      <alignment horizontal="center"/>
      <protection hidden="1"/>
    </xf>
    <xf numFmtId="0" fontId="3" fillId="3" borderId="21" xfId="0" applyFont="1" applyFill="1" applyBorder="1" applyAlignment="1" applyProtection="1">
      <alignment horizontal="center"/>
      <protection hidden="1"/>
    </xf>
    <xf numFmtId="0" fontId="0" fillId="0" borderId="21" xfId="0" applyBorder="1" applyAlignment="1" applyProtection="1">
      <alignment horizontal="center"/>
      <protection hidden="1"/>
    </xf>
    <xf numFmtId="0" fontId="36" fillId="0" borderId="21" xfId="0" applyFont="1" applyBorder="1" applyAlignment="1" applyProtection="1">
      <alignment horizontal="left"/>
      <protection hidden="1"/>
    </xf>
    <xf numFmtId="0" fontId="0" fillId="0" borderId="1" xfId="0" applyBorder="1" applyAlignment="1" applyProtection="1">
      <alignment horizontal="center"/>
      <protection locked="0" hidden="1"/>
    </xf>
    <xf numFmtId="0" fontId="43" fillId="0" borderId="0" xfId="0" applyFont="1" applyAlignment="1" applyProtection="1">
      <alignment horizontal="center"/>
      <protection hidden="1"/>
    </xf>
    <xf numFmtId="0" fontId="44" fillId="0" borderId="0" xfId="0" applyFont="1" applyAlignment="1" applyProtection="1">
      <alignment horizontal="left"/>
      <protection hidden="1"/>
    </xf>
    <xf numFmtId="0" fontId="43" fillId="0" borderId="0" xfId="0" applyFont="1" applyProtection="1">
      <protection hidden="1"/>
    </xf>
    <xf numFmtId="0" fontId="45" fillId="0" borderId="0" xfId="0" applyFont="1" applyAlignment="1" applyProtection="1">
      <alignment vertical="top"/>
      <protection hidden="1"/>
    </xf>
    <xf numFmtId="0" fontId="46" fillId="0" borderId="0" xfId="0" applyFont="1" applyAlignment="1" applyProtection="1">
      <alignment horizontal="left"/>
      <protection hidden="1"/>
    </xf>
    <xf numFmtId="0" fontId="35" fillId="0" borderId="0" xfId="0" applyFont="1" applyAlignment="1" applyProtection="1">
      <alignment horizontal="center"/>
      <protection hidden="1"/>
    </xf>
    <xf numFmtId="0" fontId="34" fillId="0" borderId="0" xfId="0" applyFont="1" applyAlignment="1" applyProtection="1">
      <alignment vertical="top"/>
      <protection hidden="1"/>
    </xf>
    <xf numFmtId="0" fontId="35" fillId="0" borderId="0" xfId="0" applyFont="1" applyProtection="1">
      <protection hidden="1"/>
    </xf>
    <xf numFmtId="0" fontId="46" fillId="0" borderId="0" xfId="0" applyFont="1" applyAlignment="1" applyProtection="1">
      <alignment horizontal="center"/>
      <protection hidden="1"/>
    </xf>
    <xf numFmtId="0" fontId="46" fillId="0" borderId="22" xfId="0" applyFont="1" applyBorder="1" applyAlignment="1" applyProtection="1">
      <alignment horizontal="left"/>
      <protection hidden="1"/>
    </xf>
    <xf numFmtId="0" fontId="47" fillId="0" borderId="23" xfId="0" applyFont="1" applyBorder="1" applyAlignment="1" applyProtection="1">
      <alignment horizontal="center"/>
      <protection hidden="1"/>
    </xf>
    <xf numFmtId="0" fontId="35" fillId="0" borderId="23" xfId="0" applyFont="1" applyBorder="1" applyAlignment="1" applyProtection="1">
      <alignment horizontal="center"/>
      <protection hidden="1"/>
    </xf>
    <xf numFmtId="0" fontId="35" fillId="0" borderId="22" xfId="0" applyFont="1" applyBorder="1" applyAlignment="1" applyProtection="1">
      <alignment horizontal="center"/>
      <protection hidden="1"/>
    </xf>
    <xf numFmtId="0" fontId="43" fillId="0" borderId="22" xfId="0" applyFont="1" applyBorder="1" applyAlignment="1" applyProtection="1">
      <alignment horizontal="center"/>
      <protection hidden="1"/>
    </xf>
    <xf numFmtId="0" fontId="43" fillId="0" borderId="24" xfId="0" applyFont="1" applyBorder="1" applyAlignment="1" applyProtection="1">
      <alignment horizontal="center"/>
      <protection hidden="1"/>
    </xf>
    <xf numFmtId="0" fontId="43" fillId="0" borderId="0" xfId="0" quotePrefix="1" applyFont="1" applyProtection="1">
      <protection hidden="1"/>
    </xf>
    <xf numFmtId="0" fontId="27" fillId="0" borderId="12" xfId="38" applyFont="1" applyBorder="1"/>
    <xf numFmtId="0" fontId="5" fillId="0" borderId="0" xfId="0" applyFont="1" applyProtection="1">
      <protection hidden="1"/>
    </xf>
    <xf numFmtId="0" fontId="48" fillId="0" borderId="0" xfId="0" applyFont="1" applyProtection="1">
      <protection hidden="1"/>
    </xf>
    <xf numFmtId="0" fontId="35" fillId="0" borderId="0" xfId="0" applyFont="1" applyProtection="1">
      <protection locked="0" hidden="1"/>
    </xf>
    <xf numFmtId="0" fontId="4" fillId="0" borderId="0" xfId="38" applyProtection="1">
      <protection locked="0" hidden="1"/>
    </xf>
    <xf numFmtId="0" fontId="4" fillId="0" borderId="18" xfId="38" applyBorder="1" applyAlignment="1">
      <alignment horizontal="center"/>
    </xf>
    <xf numFmtId="0" fontId="29" fillId="32" borderId="0" xfId="38" applyFont="1" applyFill="1" applyAlignment="1">
      <alignment horizontal="left"/>
    </xf>
    <xf numFmtId="0" fontId="4" fillId="32" borderId="0" xfId="38" applyFill="1" applyAlignment="1">
      <alignment horizontal="center"/>
    </xf>
    <xf numFmtId="0" fontId="29" fillId="32" borderId="0" xfId="38" applyFont="1" applyFill="1" applyAlignment="1">
      <alignment horizontal="center"/>
    </xf>
    <xf numFmtId="0" fontId="4" fillId="33" borderId="0" xfId="38" applyFill="1" applyAlignment="1">
      <alignment horizontal="left"/>
    </xf>
    <xf numFmtId="0" fontId="4" fillId="33" borderId="0" xfId="38" applyFill="1" applyAlignment="1">
      <alignment horizontal="center"/>
    </xf>
    <xf numFmtId="0" fontId="50" fillId="32" borderId="0" xfId="38" applyFont="1" applyFill="1" applyAlignment="1">
      <alignment horizontal="center"/>
    </xf>
    <xf numFmtId="0" fontId="4" fillId="32" borderId="20" xfId="38" applyFill="1" applyBorder="1" applyAlignment="1">
      <alignment horizontal="center"/>
    </xf>
    <xf numFmtId="0" fontId="29" fillId="32" borderId="20" xfId="38" applyFont="1" applyFill="1" applyBorder="1" applyAlignment="1">
      <alignment horizontal="left"/>
    </xf>
    <xf numFmtId="0" fontId="29" fillId="32" borderId="20" xfId="38" applyFont="1" applyFill="1" applyBorder="1" applyAlignment="1">
      <alignment horizontal="center"/>
    </xf>
    <xf numFmtId="0" fontId="41" fillId="0" borderId="0" xfId="0" applyFont="1" applyProtection="1">
      <protection hidden="1"/>
    </xf>
    <xf numFmtId="0" fontId="5" fillId="30" borderId="0" xfId="0" applyFont="1" applyFill="1"/>
    <xf numFmtId="0" fontId="0" fillId="30" borderId="0" xfId="0" applyFill="1" applyAlignment="1">
      <alignment horizontal="center"/>
    </xf>
    <xf numFmtId="0" fontId="0" fillId="34" borderId="0" xfId="0" applyFill="1"/>
    <xf numFmtId="0" fontId="5" fillId="34" borderId="0" xfId="0" applyFont="1" applyFill="1"/>
    <xf numFmtId="0" fontId="0" fillId="34" borderId="0" xfId="0" applyFill="1" applyAlignment="1">
      <alignment horizontal="center"/>
    </xf>
    <xf numFmtId="164" fontId="0" fillId="0" borderId="0" xfId="0" applyNumberFormat="1"/>
    <xf numFmtId="0" fontId="40" fillId="0" borderId="0" xfId="38" applyFont="1" applyProtection="1">
      <protection hidden="1"/>
    </xf>
    <xf numFmtId="0" fontId="41" fillId="0" borderId="0" xfId="38" applyFont="1" applyAlignment="1">
      <alignment horizontal="center"/>
    </xf>
    <xf numFmtId="0" fontId="41" fillId="0" borderId="0" xfId="38" applyFont="1" applyAlignment="1" applyProtection="1">
      <alignment horizontal="center"/>
      <protection hidden="1"/>
    </xf>
    <xf numFmtId="0" fontId="40" fillId="0" borderId="0" xfId="38" applyFont="1" applyAlignment="1">
      <alignment horizontal="left"/>
    </xf>
    <xf numFmtId="0" fontId="40" fillId="0" borderId="0" xfId="38" applyFont="1" applyAlignment="1">
      <alignment horizontal="center"/>
    </xf>
    <xf numFmtId="9" fontId="40" fillId="0" borderId="0" xfId="51" applyFont="1" applyBorder="1" applyAlignment="1">
      <alignment horizontal="left"/>
    </xf>
    <xf numFmtId="0" fontId="51" fillId="0" borderId="0" xfId="38" applyFont="1" applyAlignment="1" applyProtection="1">
      <alignment vertical="center"/>
      <protection hidden="1"/>
    </xf>
    <xf numFmtId="0" fontId="51" fillId="0" borderId="0" xfId="38" applyFont="1" applyProtection="1">
      <protection hidden="1"/>
    </xf>
    <xf numFmtId="0" fontId="40" fillId="0" borderId="0" xfId="38" applyFont="1" applyAlignment="1" applyProtection="1">
      <alignment horizontal="left"/>
      <protection hidden="1"/>
    </xf>
    <xf numFmtId="0" fontId="41" fillId="0" borderId="0" xfId="38" applyFont="1" applyAlignment="1" applyProtection="1">
      <alignment horizontal="center"/>
      <protection locked="0" hidden="1"/>
    </xf>
    <xf numFmtId="0" fontId="28" fillId="0" borderId="1" xfId="38" applyFont="1" applyBorder="1" applyAlignment="1" applyProtection="1">
      <alignment horizontal="center"/>
      <protection locked="0" hidden="1"/>
    </xf>
    <xf numFmtId="0" fontId="0" fillId="36" borderId="0" xfId="0" applyFill="1" applyProtection="1">
      <protection locked="0" hidden="1"/>
    </xf>
    <xf numFmtId="0" fontId="0" fillId="0" borderId="28" xfId="0" applyBorder="1" applyProtection="1">
      <protection locked="0" hidden="1"/>
    </xf>
    <xf numFmtId="0" fontId="0" fillId="35" borderId="28" xfId="0" applyFill="1" applyBorder="1" applyProtection="1">
      <protection locked="0" hidden="1"/>
    </xf>
    <xf numFmtId="0" fontId="0" fillId="0" borderId="0" xfId="0" applyProtection="1">
      <protection locked="0" hidden="1"/>
    </xf>
    <xf numFmtId="0" fontId="27" fillId="0" borderId="11" xfId="38" applyFont="1" applyBorder="1" applyAlignment="1">
      <alignment horizontal="center"/>
    </xf>
    <xf numFmtId="0" fontId="27" fillId="0" borderId="12" xfId="38" applyFont="1" applyBorder="1" applyAlignment="1">
      <alignment horizontal="center"/>
    </xf>
    <xf numFmtId="0" fontId="28" fillId="0" borderId="0" xfId="38" applyFont="1" applyAlignment="1" applyProtection="1">
      <alignment horizontal="left" vertical="center"/>
      <protection hidden="1"/>
    </xf>
    <xf numFmtId="0" fontId="31" fillId="0" borderId="0" xfId="0" applyFont="1" applyAlignment="1">
      <alignment horizontal="center"/>
    </xf>
    <xf numFmtId="0" fontId="4" fillId="0" borderId="15" xfId="38" applyBorder="1" applyAlignment="1">
      <alignment horizontal="center"/>
    </xf>
    <xf numFmtId="0" fontId="7" fillId="0" borderId="0" xfId="38" applyFont="1" applyAlignment="1" applyProtection="1">
      <alignment horizontal="center"/>
      <protection hidden="1"/>
    </xf>
    <xf numFmtId="0" fontId="0" fillId="0" borderId="0" xfId="0" applyAlignment="1">
      <alignment horizontal="center"/>
    </xf>
    <xf numFmtId="0" fontId="0" fillId="0" borderId="0" xfId="0"/>
    <xf numFmtId="0" fontId="26" fillId="0" borderId="0" xfId="0" applyFont="1" applyAlignment="1">
      <alignment horizontal="center"/>
    </xf>
    <xf numFmtId="0" fontId="4" fillId="0" borderId="0" xfId="38" applyAlignment="1">
      <alignment horizontal="center"/>
    </xf>
    <xf numFmtId="0" fontId="4" fillId="0" borderId="16" xfId="38" applyBorder="1" applyAlignment="1">
      <alignment horizontal="center"/>
    </xf>
    <xf numFmtId="0" fontId="4" fillId="0" borderId="19" xfId="38" applyBorder="1" applyAlignment="1">
      <alignment horizontal="center"/>
    </xf>
    <xf numFmtId="0" fontId="41" fillId="0" borderId="0" xfId="38" applyFont="1" applyAlignment="1">
      <alignment horizontal="center"/>
    </xf>
    <xf numFmtId="0" fontId="40" fillId="0" borderId="0" xfId="38" applyFont="1" applyAlignment="1">
      <alignment horizontal="center"/>
    </xf>
    <xf numFmtId="0" fontId="35" fillId="0" borderId="0" xfId="0" applyFont="1" applyAlignment="1" applyProtection="1">
      <alignment horizontal="center"/>
      <protection hidden="1"/>
    </xf>
    <xf numFmtId="0" fontId="34" fillId="0" borderId="20" xfId="0" applyFont="1" applyBorder="1" applyAlignment="1" applyProtection="1">
      <alignment horizontal="center" vertical="top"/>
      <protection hidden="1"/>
    </xf>
    <xf numFmtId="0" fontId="1" fillId="2" borderId="0" xfId="0" applyFont="1" applyFill="1" applyAlignment="1" applyProtection="1">
      <alignment horizontal="center"/>
      <protection hidden="1"/>
    </xf>
    <xf numFmtId="0" fontId="34" fillId="0" borderId="0" xfId="0" applyFont="1" applyAlignment="1" applyProtection="1">
      <alignment horizontal="center" vertical="top"/>
      <protection hidden="1"/>
    </xf>
    <xf numFmtId="0" fontId="35" fillId="0" borderId="25" xfId="0" applyFont="1" applyBorder="1" applyAlignment="1" applyProtection="1">
      <alignment horizontal="center"/>
      <protection locked="0" hidden="1"/>
    </xf>
    <xf numFmtId="0" fontId="35" fillId="0" borderId="26" xfId="0" applyFont="1" applyBorder="1" applyAlignment="1" applyProtection="1">
      <alignment horizontal="center"/>
      <protection locked="0" hidden="1"/>
    </xf>
    <xf numFmtId="0" fontId="35" fillId="0" borderId="27" xfId="0" applyFont="1" applyBorder="1" applyAlignment="1" applyProtection="1">
      <alignment horizontal="center"/>
      <protection locked="0" hidden="1"/>
    </xf>
    <xf numFmtId="0" fontId="53" fillId="0" borderId="0" xfId="0" applyFont="1" applyAlignment="1" applyProtection="1">
      <alignment horizontal="center"/>
      <protection hidden="1"/>
    </xf>
  </cellXfs>
  <cellStyles count="54">
    <cellStyle name="20% - Accent1 2" xfId="2" xr:uid="{00000000-0005-0000-0000-000000000000}"/>
    <cellStyle name="20% - Accent2 2" xfId="3" xr:uid="{00000000-0005-0000-0000-000001000000}"/>
    <cellStyle name="20% - Accent3 2" xfId="4" xr:uid="{00000000-0005-0000-0000-000002000000}"/>
    <cellStyle name="20% - Accent4 2" xfId="5" xr:uid="{00000000-0005-0000-0000-000003000000}"/>
    <cellStyle name="20% - Accent5 2" xfId="6" xr:uid="{00000000-0005-0000-0000-000004000000}"/>
    <cellStyle name="20% - Accent6 2" xfId="7" xr:uid="{00000000-0005-0000-0000-000005000000}"/>
    <cellStyle name="40% - Accent1 2" xfId="8" xr:uid="{00000000-0005-0000-0000-000006000000}"/>
    <cellStyle name="40% - Accent2 2" xfId="9" xr:uid="{00000000-0005-0000-0000-000007000000}"/>
    <cellStyle name="40% - Accent3 2" xfId="10" xr:uid="{00000000-0005-0000-0000-000008000000}"/>
    <cellStyle name="40% - Accent4 2" xfId="11" xr:uid="{00000000-0005-0000-0000-000009000000}"/>
    <cellStyle name="40% - Accent5 2" xfId="12" xr:uid="{00000000-0005-0000-0000-00000A000000}"/>
    <cellStyle name="40% - Accent6 2" xfId="13" xr:uid="{00000000-0005-0000-0000-00000B000000}"/>
    <cellStyle name="60% - Accent1 2" xfId="14" xr:uid="{00000000-0005-0000-0000-00000C000000}"/>
    <cellStyle name="60% - Accent2 2" xfId="15" xr:uid="{00000000-0005-0000-0000-00000D000000}"/>
    <cellStyle name="60% - Accent3 2" xfId="16" xr:uid="{00000000-0005-0000-0000-00000E000000}"/>
    <cellStyle name="60% - Accent4 2" xfId="17" xr:uid="{00000000-0005-0000-0000-00000F000000}"/>
    <cellStyle name="60% - Accent5 2" xfId="18" xr:uid="{00000000-0005-0000-0000-000010000000}"/>
    <cellStyle name="60% - Accent6 2" xfId="19" xr:uid="{00000000-0005-0000-0000-000011000000}"/>
    <cellStyle name="Accent1 2" xfId="20" xr:uid="{00000000-0005-0000-0000-000012000000}"/>
    <cellStyle name="Accent2 2" xfId="21" xr:uid="{00000000-0005-0000-0000-000013000000}"/>
    <cellStyle name="Accent3 2" xfId="22" xr:uid="{00000000-0005-0000-0000-000014000000}"/>
    <cellStyle name="Accent4 2" xfId="23" xr:uid="{00000000-0005-0000-0000-000015000000}"/>
    <cellStyle name="Accent5 2" xfId="24" xr:uid="{00000000-0005-0000-0000-000016000000}"/>
    <cellStyle name="Accent6 2" xfId="25" xr:uid="{00000000-0005-0000-0000-000017000000}"/>
    <cellStyle name="Bad" xfId="52" builtinId="27"/>
    <cellStyle name="Bad 2" xfId="26" xr:uid="{00000000-0005-0000-0000-000019000000}"/>
    <cellStyle name="Calculation 2" xfId="27" xr:uid="{00000000-0005-0000-0000-00001A000000}"/>
    <cellStyle name="Check Cell 2" xfId="28" xr:uid="{00000000-0005-0000-0000-00001B000000}"/>
    <cellStyle name="Explanatory Text 2" xfId="29" xr:uid="{00000000-0005-0000-0000-00001C000000}"/>
    <cellStyle name="Good 2" xfId="30" xr:uid="{00000000-0005-0000-0000-00001D000000}"/>
    <cellStyle name="Heading 1 2" xfId="31" xr:uid="{00000000-0005-0000-0000-00001E000000}"/>
    <cellStyle name="Heading 2 2" xfId="32" xr:uid="{00000000-0005-0000-0000-00001F000000}"/>
    <cellStyle name="Heading 3 2" xfId="33" xr:uid="{00000000-0005-0000-0000-000020000000}"/>
    <cellStyle name="Heading 4 2" xfId="34" xr:uid="{00000000-0005-0000-0000-000021000000}"/>
    <cellStyle name="Input 2" xfId="35" xr:uid="{00000000-0005-0000-0000-000022000000}"/>
    <cellStyle name="Linked Cell 2" xfId="36" xr:uid="{00000000-0005-0000-0000-000023000000}"/>
    <cellStyle name="Neutral 2" xfId="37" xr:uid="{00000000-0005-0000-0000-000024000000}"/>
    <cellStyle name="Normal" xfId="0" builtinId="0"/>
    <cellStyle name="Normal 2" xfId="38" xr:uid="{00000000-0005-0000-0000-000026000000}"/>
    <cellStyle name="Normal 2 2" xfId="39" xr:uid="{00000000-0005-0000-0000-000027000000}"/>
    <cellStyle name="Normal 2 2 2" xfId="40" xr:uid="{00000000-0005-0000-0000-000028000000}"/>
    <cellStyle name="Normal 2 2 3" xfId="41" xr:uid="{00000000-0005-0000-0000-000029000000}"/>
    <cellStyle name="Normal 3" xfId="42" xr:uid="{00000000-0005-0000-0000-00002A000000}"/>
    <cellStyle name="Normal 4" xfId="43" xr:uid="{00000000-0005-0000-0000-00002B000000}"/>
    <cellStyle name="Normal 5" xfId="1" xr:uid="{00000000-0005-0000-0000-00002C000000}"/>
    <cellStyle name="Normal 5 2" xfId="50" xr:uid="{00000000-0005-0000-0000-00002D000000}"/>
    <cellStyle name="Normal 6" xfId="53" xr:uid="{00000000-0005-0000-0000-00002E000000}"/>
    <cellStyle name="Note 2" xfId="44" xr:uid="{00000000-0005-0000-0000-00002F000000}"/>
    <cellStyle name="Output 2" xfId="45" xr:uid="{00000000-0005-0000-0000-000030000000}"/>
    <cellStyle name="Percent 2" xfId="49" xr:uid="{00000000-0005-0000-0000-000031000000}"/>
    <cellStyle name="Percent 2 2" xfId="51" xr:uid="{00000000-0005-0000-0000-000032000000}"/>
    <cellStyle name="Title 2" xfId="46" xr:uid="{00000000-0005-0000-0000-000033000000}"/>
    <cellStyle name="Total 2" xfId="47" xr:uid="{00000000-0005-0000-0000-000034000000}"/>
    <cellStyle name="Warning Text 2" xfId="48" xr:uid="{00000000-0005-0000-0000-000035000000}"/>
  </cellStyles>
  <dxfs count="89">
    <dxf>
      <font>
        <condense val="0"/>
        <extend val="0"/>
        <color indexed="10"/>
      </font>
    </dxf>
    <dxf>
      <font>
        <condense val="0"/>
        <extend val="0"/>
        <color indexed="10"/>
      </font>
    </dxf>
    <dxf>
      <font>
        <condense val="0"/>
        <extend val="0"/>
        <color indexed="17"/>
      </font>
    </dxf>
    <dxf>
      <font>
        <condense val="0"/>
        <extend val="0"/>
        <color indexed="10"/>
      </font>
    </dxf>
    <dxf>
      <font>
        <condense val="0"/>
        <extend val="0"/>
        <color indexed="10"/>
      </font>
    </dxf>
    <dxf>
      <font>
        <condense val="0"/>
        <extend val="0"/>
        <color indexed="17"/>
      </font>
    </dxf>
    <dxf>
      <font>
        <condense val="0"/>
        <extend val="0"/>
        <color indexed="10"/>
      </font>
    </dxf>
    <dxf>
      <font>
        <condense val="0"/>
        <extend val="0"/>
        <color indexed="10"/>
      </font>
    </dxf>
    <dxf>
      <font>
        <condense val="0"/>
        <extend val="0"/>
        <color indexed="17"/>
      </font>
    </dxf>
    <dxf>
      <fill>
        <patternFill>
          <bgColor rgb="FF00B050"/>
        </patternFill>
      </fill>
    </dxf>
    <dxf>
      <fill>
        <patternFill>
          <bgColor rgb="FFFF0000"/>
        </patternFill>
      </fill>
    </dxf>
    <dxf>
      <fill>
        <patternFill>
          <bgColor rgb="FF00B0F0"/>
        </patternFill>
      </fill>
    </dxf>
    <dxf>
      <font>
        <strike val="0"/>
        <color rgb="FFFF0000"/>
      </font>
    </dxf>
    <dxf>
      <fill>
        <patternFill>
          <bgColor rgb="FFCCFFCC"/>
        </patternFill>
      </fill>
    </dxf>
    <dxf>
      <fill>
        <patternFill>
          <bgColor rgb="FFFFCCCC"/>
        </patternFill>
      </fill>
    </dxf>
    <dxf>
      <fill>
        <patternFill>
          <bgColor rgb="FFCCCCFF"/>
        </patternFill>
      </fill>
    </dxf>
    <dxf>
      <fill>
        <patternFill>
          <bgColor rgb="FF00B050"/>
        </patternFill>
      </fill>
    </dxf>
    <dxf>
      <fill>
        <patternFill>
          <bgColor rgb="FFFF0000"/>
        </patternFill>
      </fill>
    </dxf>
    <dxf>
      <border>
        <left style="thin">
          <color theme="0"/>
        </left>
        <right style="thin">
          <color theme="0"/>
        </right>
        <bottom style="thin">
          <color theme="0"/>
        </bottom>
        <vertical/>
        <horizontal/>
      </border>
    </dxf>
    <dxf>
      <border>
        <left style="thin">
          <color theme="0"/>
        </left>
        <right style="thin">
          <color theme="0"/>
        </right>
        <bottom style="thin">
          <color theme="0"/>
        </bottom>
        <vertical/>
        <horizontal/>
      </border>
    </dxf>
    <dxf>
      <border>
        <left style="thin">
          <color theme="0"/>
        </left>
        <right style="thin">
          <color theme="0"/>
        </right>
        <bottom style="thin">
          <color theme="0"/>
        </bottom>
        <vertical/>
        <horizontal/>
      </border>
    </dxf>
    <dxf>
      <border>
        <left style="thin">
          <color theme="0"/>
        </left>
        <right style="thin">
          <color theme="0"/>
        </right>
        <bottom style="thin">
          <color theme="0"/>
        </bottom>
        <vertical/>
        <horizontal/>
      </border>
    </dxf>
    <dxf>
      <font>
        <strike val="0"/>
        <color auto="1"/>
      </font>
      <fill>
        <patternFill>
          <bgColor rgb="FFCCFFCC"/>
        </patternFill>
      </fill>
    </dxf>
    <dxf>
      <font>
        <strike val="0"/>
        <color auto="1"/>
      </font>
      <fill>
        <patternFill>
          <bgColor theme="5" tint="0.79998168889431442"/>
        </patternFill>
      </fill>
    </dxf>
    <dxf>
      <font>
        <condense val="0"/>
        <extend val="0"/>
        <color indexed="10"/>
      </font>
    </dxf>
    <dxf>
      <font>
        <condense val="0"/>
        <extend val="0"/>
        <color indexed="10"/>
      </font>
    </dxf>
    <dxf>
      <font>
        <condense val="0"/>
        <extend val="0"/>
        <color indexed="17"/>
      </font>
    </dxf>
    <dxf>
      <fill>
        <patternFill>
          <bgColor theme="1"/>
        </patternFill>
      </fill>
    </dxf>
    <dxf>
      <fill>
        <patternFill patternType="none">
          <bgColor auto="1"/>
        </patternFill>
      </fill>
    </dxf>
    <dxf>
      <fill>
        <patternFill>
          <bgColor indexed="8"/>
        </patternFill>
      </fill>
    </dxf>
    <dxf>
      <fill>
        <patternFill patternType="none">
          <bgColor auto="1"/>
        </patternFill>
      </fill>
    </dxf>
    <dxf>
      <fill>
        <patternFill>
          <bgColor theme="1"/>
        </patternFill>
      </fill>
    </dxf>
    <dxf>
      <fill>
        <patternFill>
          <bgColor theme="0"/>
        </patternFill>
      </fill>
    </dxf>
    <dxf>
      <fill>
        <patternFill>
          <bgColor indexed="8"/>
        </patternFill>
      </fill>
    </dxf>
    <dxf>
      <fill>
        <patternFill>
          <bgColor theme="1"/>
        </patternFill>
      </fill>
    </dxf>
    <dxf>
      <fill>
        <patternFill>
          <bgColor theme="0"/>
        </patternFill>
      </fill>
    </dxf>
    <dxf>
      <fill>
        <patternFill>
          <bgColor indexed="8"/>
        </patternFill>
      </fill>
    </dxf>
    <dxf>
      <font>
        <color theme="0"/>
      </font>
      <fill>
        <patternFill>
          <bgColor theme="1"/>
        </patternFill>
      </fill>
    </dxf>
    <dxf>
      <fill>
        <patternFill patternType="none">
          <bgColor auto="1"/>
        </patternFill>
      </fill>
    </dxf>
    <dxf>
      <fill>
        <patternFill>
          <bgColor theme="1"/>
        </patternFill>
      </fill>
    </dxf>
    <dxf>
      <fill>
        <patternFill patternType="none">
          <bgColor auto="1"/>
        </patternFill>
      </fill>
    </dxf>
    <dxf>
      <fill>
        <patternFill>
          <bgColor theme="1"/>
        </patternFill>
      </fill>
    </dxf>
    <dxf>
      <font>
        <color theme="0"/>
      </font>
      <fill>
        <patternFill>
          <bgColor theme="1"/>
        </patternFill>
      </fill>
    </dxf>
    <dxf>
      <fill>
        <patternFill patternType="none">
          <bgColor auto="1"/>
        </patternFill>
      </fill>
    </dxf>
    <dxf>
      <fill>
        <patternFill>
          <bgColor theme="1"/>
        </patternFill>
      </fill>
    </dxf>
    <dxf>
      <fill>
        <patternFill patternType="none">
          <bgColor indexed="65"/>
        </patternFill>
      </fill>
    </dxf>
    <dxf>
      <fill>
        <patternFill patternType="none">
          <bgColor indexed="65"/>
        </patternFill>
      </fill>
    </dxf>
    <dxf>
      <fill>
        <patternFill patternType="none">
          <bgColor auto="1"/>
        </patternFill>
      </fill>
    </dxf>
    <dxf>
      <fill>
        <patternFill patternType="none">
          <bgColor indexed="65"/>
        </patternFill>
      </fill>
    </dxf>
    <dxf>
      <fill>
        <patternFill patternType="none">
          <bgColor auto="1"/>
        </patternFill>
      </fill>
    </dxf>
    <dxf>
      <fill>
        <patternFill>
          <bgColor theme="0"/>
        </patternFill>
      </fill>
    </dxf>
    <dxf>
      <fill>
        <patternFill patternType="none">
          <bgColor indexed="65"/>
        </patternFill>
      </fill>
    </dxf>
    <dxf>
      <fill>
        <patternFill patternType="none">
          <bgColor indexed="65"/>
        </patternFill>
      </fill>
    </dxf>
    <dxf>
      <fill>
        <patternFill>
          <bgColor theme="0"/>
        </patternFill>
      </fill>
    </dxf>
    <dxf>
      <fill>
        <patternFill patternType="none">
          <bgColor auto="1"/>
        </patternFill>
      </fill>
    </dxf>
    <dxf>
      <fill>
        <patternFill patternType="none">
          <bgColor indexed="65"/>
        </patternFill>
      </fill>
    </dxf>
    <dxf>
      <fill>
        <patternFill patternType="none">
          <bgColor auto="1"/>
        </patternFill>
      </fill>
    </dxf>
    <dxf>
      <fill>
        <patternFill patternType="none">
          <bgColor auto="1"/>
        </patternFill>
      </fill>
    </dxf>
    <dxf>
      <fill>
        <patternFill>
          <bgColor theme="1"/>
        </patternFill>
      </fill>
    </dxf>
    <dxf>
      <fill>
        <patternFill>
          <bgColor indexed="8"/>
        </patternFill>
      </fill>
    </dxf>
    <dxf>
      <fill>
        <patternFill>
          <bgColor theme="1"/>
        </patternFill>
      </fill>
    </dxf>
    <dxf>
      <fill>
        <patternFill patternType="none">
          <bgColor auto="1"/>
        </patternFill>
      </fill>
    </dxf>
    <dxf>
      <fill>
        <patternFill>
          <bgColor theme="0"/>
        </patternFill>
      </fill>
    </dxf>
    <dxf>
      <fill>
        <patternFill>
          <bgColor indexed="8"/>
        </patternFill>
      </fill>
    </dxf>
    <dxf>
      <fill>
        <patternFill>
          <bgColor theme="1"/>
        </patternFill>
      </fill>
      <border>
        <right style="thin">
          <color auto="1"/>
        </right>
      </border>
    </dxf>
    <dxf>
      <fill>
        <patternFill>
          <bgColor theme="0"/>
        </patternFill>
      </fill>
    </dxf>
    <dxf>
      <fill>
        <patternFill>
          <bgColor indexed="8"/>
        </patternFill>
      </fill>
    </dxf>
    <dxf>
      <font>
        <color theme="0"/>
      </font>
      <fill>
        <patternFill>
          <bgColor theme="1"/>
        </patternFill>
      </fill>
    </dxf>
    <dxf>
      <fill>
        <patternFill patternType="none">
          <bgColor auto="1"/>
        </patternFill>
      </fill>
    </dxf>
    <dxf>
      <fill>
        <patternFill>
          <bgColor theme="1"/>
        </patternFill>
      </fill>
    </dxf>
    <dxf>
      <fill>
        <patternFill>
          <bgColor indexed="8"/>
        </patternFill>
      </fill>
    </dxf>
    <dxf>
      <border>
        <left style="thin">
          <color theme="0"/>
        </left>
        <right style="thin">
          <color theme="0"/>
        </right>
        <bottom style="thin">
          <color theme="0"/>
        </bottom>
        <vertical/>
        <horizontal/>
      </border>
    </dxf>
    <dxf>
      <border>
        <left style="thin">
          <color theme="0"/>
        </left>
        <right style="thin">
          <color theme="0"/>
        </right>
        <bottom style="thin">
          <color theme="0"/>
        </bottom>
        <vertical/>
        <horizontal/>
      </border>
    </dxf>
    <dxf>
      <border>
        <left style="thin">
          <color theme="0"/>
        </left>
        <right style="thin">
          <color theme="0"/>
        </right>
        <bottom style="thin">
          <color theme="0"/>
        </bottom>
        <vertical/>
        <horizontal/>
      </border>
    </dxf>
    <dxf>
      <border>
        <left style="thin">
          <color theme="0"/>
        </left>
        <right style="thin">
          <color theme="0"/>
        </right>
        <bottom style="thin">
          <color theme="0"/>
        </bottom>
        <vertical/>
        <horizontal/>
      </border>
    </dxf>
    <dxf>
      <fill>
        <patternFill>
          <bgColor indexed="9"/>
        </patternFill>
      </fill>
    </dxf>
    <dxf>
      <font>
        <b val="0"/>
        <i val="0"/>
        <strike val="0"/>
        <condense val="0"/>
        <extend val="0"/>
        <outline val="0"/>
        <shadow val="0"/>
        <u val="none"/>
        <vertAlign val="baseline"/>
        <sz val="11"/>
        <color theme="1"/>
        <name val="Calibri"/>
        <family val="2"/>
        <scheme val="minor"/>
      </font>
      <border diagonalUp="0" diagonalDown="0">
        <left/>
        <right/>
        <top style="thin">
          <color theme="8" tint="0.39997558519241921"/>
        </top>
        <bottom/>
        <vertical/>
        <horizontal/>
      </border>
      <protection locked="0" hidden="1"/>
    </dxf>
    <dxf>
      <font>
        <b val="0"/>
        <i val="0"/>
        <strike val="0"/>
        <condense val="0"/>
        <extend val="0"/>
        <outline val="0"/>
        <shadow val="0"/>
        <u val="none"/>
        <vertAlign val="baseline"/>
        <sz val="11"/>
        <color theme="1"/>
        <name val="Calibri"/>
        <family val="2"/>
        <scheme val="minor"/>
      </font>
      <border diagonalUp="0" diagonalDown="0">
        <left/>
        <right/>
        <top style="thin">
          <color theme="8" tint="0.39997558519241921"/>
        </top>
        <bottom/>
        <vertical/>
        <horizontal/>
      </border>
      <protection locked="0" hidden="1"/>
    </dxf>
    <dxf>
      <font>
        <b val="0"/>
        <i val="0"/>
        <strike val="0"/>
        <condense val="0"/>
        <extend val="0"/>
        <outline val="0"/>
        <shadow val="0"/>
        <u val="none"/>
        <vertAlign val="baseline"/>
        <sz val="11"/>
        <color theme="1"/>
        <name val="Calibri"/>
        <family val="2"/>
        <scheme val="minor"/>
      </font>
      <border diagonalUp="0" diagonalDown="0">
        <left/>
        <right/>
        <top style="thin">
          <color theme="8" tint="0.39997558519241921"/>
        </top>
        <bottom/>
        <vertical/>
        <horizontal/>
      </border>
      <protection locked="0" hidden="1"/>
    </dxf>
    <dxf>
      <font>
        <b val="0"/>
        <i val="0"/>
        <strike val="0"/>
        <condense val="0"/>
        <extend val="0"/>
        <outline val="0"/>
        <shadow val="0"/>
        <u val="none"/>
        <vertAlign val="baseline"/>
        <sz val="11"/>
        <color theme="1"/>
        <name val="Calibri"/>
        <family val="2"/>
        <scheme val="minor"/>
      </font>
      <border diagonalUp="0" diagonalDown="0">
        <left/>
        <right/>
        <top style="thin">
          <color theme="8" tint="0.39997558519241921"/>
        </top>
        <bottom/>
        <vertical/>
        <horizontal/>
      </border>
      <protection locked="0" hidden="1"/>
    </dxf>
    <dxf>
      <font>
        <b val="0"/>
        <i val="0"/>
        <strike val="0"/>
        <condense val="0"/>
        <extend val="0"/>
        <outline val="0"/>
        <shadow val="0"/>
        <u val="none"/>
        <vertAlign val="baseline"/>
        <sz val="11"/>
        <color theme="1"/>
        <name val="Calibri"/>
        <family val="2"/>
        <scheme val="minor"/>
      </font>
      <border diagonalUp="0" diagonalDown="0">
        <left/>
        <right/>
        <top style="thin">
          <color theme="8" tint="0.39997558519241921"/>
        </top>
        <bottom/>
        <vertical/>
        <horizontal/>
      </border>
      <protection locked="0" hidden="1"/>
    </dxf>
    <dxf>
      <font>
        <b val="0"/>
        <i val="0"/>
        <strike val="0"/>
        <condense val="0"/>
        <extend val="0"/>
        <outline val="0"/>
        <shadow val="0"/>
        <u val="none"/>
        <vertAlign val="baseline"/>
        <sz val="11"/>
        <color theme="1"/>
        <name val="Calibri"/>
        <family val="2"/>
        <scheme val="minor"/>
      </font>
      <border diagonalUp="0" diagonalDown="0">
        <left/>
        <right/>
        <top style="thin">
          <color theme="8" tint="0.39997558519241921"/>
        </top>
        <bottom/>
        <vertical/>
        <horizontal/>
      </border>
      <protection locked="0" hidden="1"/>
    </dxf>
    <dxf>
      <font>
        <b val="0"/>
        <i val="0"/>
        <strike val="0"/>
        <condense val="0"/>
        <extend val="0"/>
        <outline val="0"/>
        <shadow val="0"/>
        <u val="none"/>
        <vertAlign val="baseline"/>
        <sz val="11"/>
        <color theme="1"/>
        <name val="Calibri"/>
        <family val="2"/>
        <scheme val="minor"/>
      </font>
      <border diagonalUp="0" diagonalDown="0">
        <left/>
        <right/>
        <top style="thin">
          <color theme="8" tint="0.39997558519241921"/>
        </top>
        <bottom/>
        <vertical/>
        <horizontal/>
      </border>
      <protection locked="0" hidden="1"/>
    </dxf>
    <dxf>
      <font>
        <b val="0"/>
        <i val="0"/>
        <strike val="0"/>
        <condense val="0"/>
        <extend val="0"/>
        <outline val="0"/>
        <shadow val="0"/>
        <u val="none"/>
        <vertAlign val="baseline"/>
        <sz val="11"/>
        <color theme="1"/>
        <name val="Calibri"/>
        <family val="2"/>
        <scheme val="minor"/>
      </font>
      <border diagonalUp="0" diagonalDown="0">
        <left/>
        <right/>
        <top style="thin">
          <color theme="8" tint="0.39997558519241921"/>
        </top>
        <bottom/>
        <vertical/>
        <horizontal/>
      </border>
      <protection locked="0" hidden="1"/>
    </dxf>
    <dxf>
      <font>
        <b val="0"/>
        <i val="0"/>
        <strike val="0"/>
        <condense val="0"/>
        <extend val="0"/>
        <outline val="0"/>
        <shadow val="0"/>
        <u val="none"/>
        <vertAlign val="baseline"/>
        <sz val="11"/>
        <color theme="1"/>
        <name val="Calibri"/>
        <family val="2"/>
        <scheme val="minor"/>
      </font>
      <border diagonalUp="0" diagonalDown="0">
        <left/>
        <right/>
        <top style="thin">
          <color theme="8" tint="0.39997558519241921"/>
        </top>
        <bottom/>
        <vertical/>
        <horizontal/>
      </border>
      <protection locked="0" hidden="1"/>
    </dxf>
    <dxf>
      <font>
        <b val="0"/>
        <i val="0"/>
        <strike val="0"/>
        <condense val="0"/>
        <extend val="0"/>
        <outline val="0"/>
        <shadow val="0"/>
        <u val="none"/>
        <vertAlign val="baseline"/>
        <sz val="11"/>
        <color theme="1"/>
        <name val="Calibri"/>
        <family val="2"/>
        <scheme val="minor"/>
      </font>
      <border diagonalUp="0" diagonalDown="0">
        <left/>
        <right/>
        <top style="thin">
          <color theme="8" tint="0.39997558519241921"/>
        </top>
        <bottom/>
        <vertical/>
        <horizontal/>
      </border>
      <protection locked="0" hidden="1"/>
    </dxf>
    <dxf>
      <border outline="0">
        <left style="thin">
          <color indexed="64"/>
        </left>
        <right style="thin">
          <color indexed="64"/>
        </right>
        <top style="thin">
          <color theme="8" tint="0.39997558519241921"/>
        </top>
        <bottom style="thin">
          <color indexed="64"/>
        </bottom>
      </border>
    </dxf>
    <dxf>
      <font>
        <b val="0"/>
        <i val="0"/>
        <strike val="0"/>
        <condense val="0"/>
        <extend val="0"/>
        <outline val="0"/>
        <shadow val="0"/>
        <u val="none"/>
        <vertAlign val="baseline"/>
        <sz val="11"/>
        <color theme="1"/>
        <name val="Calibri"/>
        <family val="2"/>
        <scheme val="minor"/>
      </font>
      <protection locked="0" hidden="1"/>
    </dxf>
    <dxf>
      <font>
        <b val="0"/>
        <i val="0"/>
        <strike val="0"/>
        <condense val="0"/>
        <extend val="0"/>
        <outline val="0"/>
        <shadow val="0"/>
        <u val="none"/>
        <vertAlign val="baseline"/>
        <sz val="11"/>
        <color theme="1"/>
        <name val="Calibri"/>
        <family val="2"/>
        <scheme val="minor"/>
      </font>
      <fill>
        <patternFill patternType="solid">
          <fgColor theme="8" tint="0.79998168889431442"/>
          <bgColor theme="4"/>
        </patternFill>
      </fill>
      <protection locked="0" hidden="1"/>
    </dxf>
  </dxfs>
  <tableStyles count="0" defaultTableStyle="TableStyleMedium2" defaultPivotStyle="PivotStyleLight16"/>
  <colors>
    <mruColors>
      <color rgb="FFCCCCFF"/>
      <color rgb="FFFFCCCC"/>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2679947150397966E-2"/>
          <c:y val="5.434782608695652E-2"/>
          <c:w val="0.85621461534042675"/>
          <c:h val="0.85869565217391308"/>
        </c:manualLayout>
      </c:layout>
      <c:barChart>
        <c:barDir val="bar"/>
        <c:grouping val="clustered"/>
        <c:varyColors val="0"/>
        <c:ser>
          <c:idx val="0"/>
          <c:order val="0"/>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Calculator'!$AD$7</c:f>
              <c:numCache>
                <c:formatCode>General</c:formatCode>
                <c:ptCount val="1"/>
                <c:pt idx="0">
                  <c:v>12</c:v>
                </c:pt>
              </c:numCache>
            </c:numRef>
          </c:val>
          <c:extLst>
            <c:ext xmlns:c16="http://schemas.microsoft.com/office/drawing/2014/chart" uri="{C3380CC4-5D6E-409C-BE32-E72D297353CC}">
              <c16:uniqueId val="{00000000-110B-4F58-97FE-CF15D0B356F1}"/>
            </c:ext>
          </c:extLst>
        </c:ser>
        <c:ser>
          <c:idx val="1"/>
          <c:order val="1"/>
          <c:spPr>
            <a:solidFill>
              <a:srgbClr val="33CCCC"/>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Calculator'!$AC$7</c:f>
              <c:numCache>
                <c:formatCode>General</c:formatCode>
                <c:ptCount val="1"/>
                <c:pt idx="0">
                  <c:v>41</c:v>
                </c:pt>
              </c:numCache>
            </c:numRef>
          </c:val>
          <c:extLst>
            <c:ext xmlns:c16="http://schemas.microsoft.com/office/drawing/2014/chart" uri="{C3380CC4-5D6E-409C-BE32-E72D297353CC}">
              <c16:uniqueId val="{00000001-110B-4F58-97FE-CF15D0B356F1}"/>
            </c:ext>
          </c:extLst>
        </c:ser>
        <c:dLbls>
          <c:showLegendKey val="0"/>
          <c:showVal val="0"/>
          <c:showCatName val="0"/>
          <c:showSerName val="0"/>
          <c:showPercent val="0"/>
          <c:showBubbleSize val="0"/>
        </c:dLbls>
        <c:gapWidth val="0"/>
        <c:overlap val="-50"/>
        <c:axId val="190192256"/>
        <c:axId val="190206336"/>
      </c:barChart>
      <c:catAx>
        <c:axId val="190192256"/>
        <c:scaling>
          <c:orientation val="minMax"/>
        </c:scaling>
        <c:delete val="1"/>
        <c:axPos val="l"/>
        <c:majorTickMark val="out"/>
        <c:minorTickMark val="none"/>
        <c:tickLblPos val="nextTo"/>
        <c:crossAx val="190206336"/>
        <c:crosses val="autoZero"/>
        <c:auto val="1"/>
        <c:lblAlgn val="ctr"/>
        <c:lblOffset val="100"/>
        <c:noMultiLvlLbl val="0"/>
      </c:catAx>
      <c:valAx>
        <c:axId val="190206336"/>
        <c:scaling>
          <c:orientation val="minMax"/>
          <c:max val="60"/>
          <c:min val="0"/>
        </c:scaling>
        <c:delete val="1"/>
        <c:axPos val="b"/>
        <c:majorGridlines>
          <c:spPr>
            <a:ln w="3175">
              <a:solidFill>
                <a:srgbClr val="C0C0C0"/>
              </a:solidFill>
              <a:prstDash val="solid"/>
            </a:ln>
          </c:spPr>
        </c:majorGridlines>
        <c:numFmt formatCode="General" sourceLinked="1"/>
        <c:majorTickMark val="out"/>
        <c:minorTickMark val="none"/>
        <c:tickLblPos val="nextTo"/>
        <c:crossAx val="190192256"/>
        <c:crosses val="autoZero"/>
        <c:crossBetween val="between"/>
        <c:majorUnit val="250"/>
        <c:minorUnit val="1"/>
      </c:valAx>
      <c:spPr>
        <a:solidFill>
          <a:srgbClr val="FFFFFF"/>
        </a:solidFill>
        <a:ln w="3175">
          <a:solidFill>
            <a:srgbClr val="FFFFFF"/>
          </a:solidFill>
          <a:prstDash val="solid"/>
        </a:ln>
      </c:spPr>
    </c:plotArea>
    <c:plotVisOnly val="1"/>
    <c:dispBlanksAs val="gap"/>
    <c:showDLblsOverMax val="0"/>
  </c:chart>
  <c:spPr>
    <a:solidFill>
      <a:srgbClr val="FFFFFF"/>
    </a:solidFill>
    <a:ln w="3175">
      <a:solidFill>
        <a:srgbClr val="FFFFFF"/>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1.4044943820224719E-2"/>
          <c:y val="1.7793594306049824E-2"/>
          <c:w val="0.9719101123595506"/>
          <c:h val="0.96797153024911031"/>
        </c:manualLayout>
      </c:layout>
      <c:barChart>
        <c:barDir val="bar"/>
        <c:grouping val="clustered"/>
        <c:varyColors val="0"/>
        <c:ser>
          <c:idx val="14"/>
          <c:order val="0"/>
          <c:tx>
            <c:strRef>
              <c:f>'Stats Calculator'!$AG$17</c:f>
              <c:strCache>
                <c:ptCount val="1"/>
                <c:pt idx="0">
                  <c:v>-2</c:v>
                </c:pt>
              </c:strCache>
            </c:strRef>
          </c:tx>
          <c:spPr>
            <a:solidFill>
              <a:srgbClr val="FF0000"/>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Calculator'!$AH$17</c:f>
              <c:numCache>
                <c:formatCode>General</c:formatCode>
                <c:ptCount val="1"/>
                <c:pt idx="0">
                  <c:v>0</c:v>
                </c:pt>
              </c:numCache>
            </c:numRef>
          </c:val>
          <c:extLst>
            <c:ext xmlns:c16="http://schemas.microsoft.com/office/drawing/2014/chart" uri="{C3380CC4-5D6E-409C-BE32-E72D297353CC}">
              <c16:uniqueId val="{00000000-3528-4AEB-9D39-08DECDEAA245}"/>
            </c:ext>
          </c:extLst>
        </c:ser>
        <c:ser>
          <c:idx val="13"/>
          <c:order val="1"/>
          <c:tx>
            <c:strRef>
              <c:f>'Stats Calculator'!$AG$16</c:f>
              <c:strCache>
                <c:ptCount val="1"/>
                <c:pt idx="0">
                  <c:v>-1</c:v>
                </c:pt>
              </c:strCache>
            </c:strRef>
          </c:tx>
          <c:spPr>
            <a:solidFill>
              <a:srgbClr val="FF0000"/>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Calculator'!$AH$16</c:f>
              <c:numCache>
                <c:formatCode>General</c:formatCode>
                <c:ptCount val="1"/>
                <c:pt idx="0">
                  <c:v>0</c:v>
                </c:pt>
              </c:numCache>
            </c:numRef>
          </c:val>
          <c:extLst>
            <c:ext xmlns:c16="http://schemas.microsoft.com/office/drawing/2014/chart" uri="{C3380CC4-5D6E-409C-BE32-E72D297353CC}">
              <c16:uniqueId val="{00000001-3528-4AEB-9D39-08DECDEAA245}"/>
            </c:ext>
          </c:extLst>
        </c:ser>
        <c:ser>
          <c:idx val="12"/>
          <c:order val="2"/>
          <c:tx>
            <c:strRef>
              <c:f>'Stats Calculator'!$AG$15</c:f>
              <c:strCache>
                <c:ptCount val="1"/>
                <c:pt idx="0">
                  <c:v>0</c:v>
                </c:pt>
              </c:strCache>
            </c:strRef>
          </c:tx>
          <c:spPr>
            <a:solidFill>
              <a:srgbClr val="FF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Calculator'!$AH$15</c:f>
              <c:numCache>
                <c:formatCode>General</c:formatCode>
                <c:ptCount val="1"/>
                <c:pt idx="0">
                  <c:v>0</c:v>
                </c:pt>
              </c:numCache>
            </c:numRef>
          </c:val>
          <c:extLst>
            <c:ext xmlns:c16="http://schemas.microsoft.com/office/drawing/2014/chart" uri="{C3380CC4-5D6E-409C-BE32-E72D297353CC}">
              <c16:uniqueId val="{00000002-3528-4AEB-9D39-08DECDEAA245}"/>
            </c:ext>
          </c:extLst>
        </c:ser>
        <c:ser>
          <c:idx val="11"/>
          <c:order val="3"/>
          <c:tx>
            <c:strRef>
              <c:f>'Stats Calculator'!$AG$14</c:f>
              <c:strCache>
                <c:ptCount val="1"/>
                <c:pt idx="0">
                  <c:v>1</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Calculator'!$AH$14</c:f>
              <c:numCache>
                <c:formatCode>General</c:formatCode>
                <c:ptCount val="1"/>
                <c:pt idx="0">
                  <c:v>0</c:v>
                </c:pt>
              </c:numCache>
            </c:numRef>
          </c:val>
          <c:extLst>
            <c:ext xmlns:c16="http://schemas.microsoft.com/office/drawing/2014/chart" uri="{C3380CC4-5D6E-409C-BE32-E72D297353CC}">
              <c16:uniqueId val="{00000003-3528-4AEB-9D39-08DECDEAA245}"/>
            </c:ext>
          </c:extLst>
        </c:ser>
        <c:ser>
          <c:idx val="10"/>
          <c:order val="4"/>
          <c:tx>
            <c:strRef>
              <c:f>'Stats Calculator'!$AG$13</c:f>
              <c:strCache>
                <c:ptCount val="1"/>
                <c:pt idx="0">
                  <c:v>2</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Calculator'!$AH$13</c:f>
              <c:numCache>
                <c:formatCode>General</c:formatCode>
                <c:ptCount val="1"/>
                <c:pt idx="0">
                  <c:v>0</c:v>
                </c:pt>
              </c:numCache>
            </c:numRef>
          </c:val>
          <c:extLst>
            <c:ext xmlns:c16="http://schemas.microsoft.com/office/drawing/2014/chart" uri="{C3380CC4-5D6E-409C-BE32-E72D297353CC}">
              <c16:uniqueId val="{00000004-3528-4AEB-9D39-08DECDEAA245}"/>
            </c:ext>
          </c:extLst>
        </c:ser>
        <c:ser>
          <c:idx val="9"/>
          <c:order val="5"/>
          <c:tx>
            <c:strRef>
              <c:f>'Stats Calculator'!$AG$12</c:f>
              <c:strCache>
                <c:ptCount val="1"/>
                <c:pt idx="0">
                  <c:v>3</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Calculator'!$AH$12</c:f>
              <c:numCache>
                <c:formatCode>General</c:formatCode>
                <c:ptCount val="1"/>
                <c:pt idx="0">
                  <c:v>0</c:v>
                </c:pt>
              </c:numCache>
            </c:numRef>
          </c:val>
          <c:extLst>
            <c:ext xmlns:c16="http://schemas.microsoft.com/office/drawing/2014/chart" uri="{C3380CC4-5D6E-409C-BE32-E72D297353CC}">
              <c16:uniqueId val="{00000005-3528-4AEB-9D39-08DECDEAA245}"/>
            </c:ext>
          </c:extLst>
        </c:ser>
        <c:ser>
          <c:idx val="8"/>
          <c:order val="6"/>
          <c:tx>
            <c:strRef>
              <c:f>'Stats Calculator'!$AG$11</c:f>
              <c:strCache>
                <c:ptCount val="1"/>
                <c:pt idx="0">
                  <c:v>4</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Calculator'!$AH$11</c:f>
              <c:numCache>
                <c:formatCode>General</c:formatCode>
                <c:ptCount val="1"/>
                <c:pt idx="0">
                  <c:v>0</c:v>
                </c:pt>
              </c:numCache>
            </c:numRef>
          </c:val>
          <c:extLst>
            <c:ext xmlns:c16="http://schemas.microsoft.com/office/drawing/2014/chart" uri="{C3380CC4-5D6E-409C-BE32-E72D297353CC}">
              <c16:uniqueId val="{00000006-3528-4AEB-9D39-08DECDEAA245}"/>
            </c:ext>
          </c:extLst>
        </c:ser>
        <c:ser>
          <c:idx val="7"/>
          <c:order val="7"/>
          <c:tx>
            <c:strRef>
              <c:f>'Stats Calculator'!$AG$10</c:f>
              <c:strCache>
                <c:ptCount val="1"/>
                <c:pt idx="0">
                  <c:v>5</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Calculator'!$AH$10</c:f>
              <c:numCache>
                <c:formatCode>General</c:formatCode>
                <c:ptCount val="1"/>
                <c:pt idx="0">
                  <c:v>4</c:v>
                </c:pt>
              </c:numCache>
            </c:numRef>
          </c:val>
          <c:extLst>
            <c:ext xmlns:c16="http://schemas.microsoft.com/office/drawing/2014/chart" uri="{C3380CC4-5D6E-409C-BE32-E72D297353CC}">
              <c16:uniqueId val="{00000007-3528-4AEB-9D39-08DECDEAA245}"/>
            </c:ext>
          </c:extLst>
        </c:ser>
        <c:ser>
          <c:idx val="6"/>
          <c:order val="8"/>
          <c:tx>
            <c:strRef>
              <c:f>'Stats Calculator'!$AG$9</c:f>
              <c:strCache>
                <c:ptCount val="1"/>
                <c:pt idx="0">
                  <c:v>6</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Calculator'!$AH$9</c:f>
              <c:numCache>
                <c:formatCode>General</c:formatCode>
                <c:ptCount val="1"/>
                <c:pt idx="0">
                  <c:v>0</c:v>
                </c:pt>
              </c:numCache>
            </c:numRef>
          </c:val>
          <c:extLst>
            <c:ext xmlns:c16="http://schemas.microsoft.com/office/drawing/2014/chart" uri="{C3380CC4-5D6E-409C-BE32-E72D297353CC}">
              <c16:uniqueId val="{00000008-3528-4AEB-9D39-08DECDEAA245}"/>
            </c:ext>
          </c:extLst>
        </c:ser>
        <c:ser>
          <c:idx val="5"/>
          <c:order val="9"/>
          <c:tx>
            <c:strRef>
              <c:f>'Stats Calculator'!$AG$8</c:f>
              <c:strCache>
                <c:ptCount val="1"/>
                <c:pt idx="0">
                  <c:v>7</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Calculator'!$AH$8</c:f>
              <c:numCache>
                <c:formatCode>General</c:formatCode>
                <c:ptCount val="1"/>
                <c:pt idx="0">
                  <c:v>0</c:v>
                </c:pt>
              </c:numCache>
            </c:numRef>
          </c:val>
          <c:extLst>
            <c:ext xmlns:c16="http://schemas.microsoft.com/office/drawing/2014/chart" uri="{C3380CC4-5D6E-409C-BE32-E72D297353CC}">
              <c16:uniqueId val="{00000009-3528-4AEB-9D39-08DECDEAA245}"/>
            </c:ext>
          </c:extLst>
        </c:ser>
        <c:ser>
          <c:idx val="4"/>
          <c:order val="10"/>
          <c:tx>
            <c:strRef>
              <c:f>'Stats Calculator'!$AG$7</c:f>
              <c:strCache>
                <c:ptCount val="1"/>
                <c:pt idx="0">
                  <c:v>8</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Calculator'!$AH$7</c:f>
              <c:numCache>
                <c:formatCode>General</c:formatCode>
                <c:ptCount val="1"/>
                <c:pt idx="0">
                  <c:v>0</c:v>
                </c:pt>
              </c:numCache>
            </c:numRef>
          </c:val>
          <c:extLst>
            <c:ext xmlns:c16="http://schemas.microsoft.com/office/drawing/2014/chart" uri="{C3380CC4-5D6E-409C-BE32-E72D297353CC}">
              <c16:uniqueId val="{0000000A-3528-4AEB-9D39-08DECDEAA245}"/>
            </c:ext>
          </c:extLst>
        </c:ser>
        <c:ser>
          <c:idx val="3"/>
          <c:order val="11"/>
          <c:tx>
            <c:strRef>
              <c:f>'Stats Calculator'!$AG$6</c:f>
              <c:strCache>
                <c:ptCount val="1"/>
                <c:pt idx="0">
                  <c:v>9</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Calculator'!$AH$6</c:f>
              <c:numCache>
                <c:formatCode>General</c:formatCode>
                <c:ptCount val="1"/>
                <c:pt idx="0">
                  <c:v>37</c:v>
                </c:pt>
              </c:numCache>
            </c:numRef>
          </c:val>
          <c:extLst>
            <c:ext xmlns:c16="http://schemas.microsoft.com/office/drawing/2014/chart" uri="{C3380CC4-5D6E-409C-BE32-E72D297353CC}">
              <c16:uniqueId val="{0000000B-3528-4AEB-9D39-08DECDEAA245}"/>
            </c:ext>
          </c:extLst>
        </c:ser>
        <c:ser>
          <c:idx val="1"/>
          <c:order val="12"/>
          <c:tx>
            <c:strRef>
              <c:f>'Stats Calculator'!$AG$5</c:f>
              <c:strCache>
                <c:ptCount val="1"/>
                <c:pt idx="0">
                  <c:v>10</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Calculator'!$AH$5</c:f>
              <c:numCache>
                <c:formatCode>General</c:formatCode>
                <c:ptCount val="1"/>
                <c:pt idx="0">
                  <c:v>0</c:v>
                </c:pt>
              </c:numCache>
            </c:numRef>
          </c:val>
          <c:extLst>
            <c:ext xmlns:c16="http://schemas.microsoft.com/office/drawing/2014/chart" uri="{C3380CC4-5D6E-409C-BE32-E72D297353CC}">
              <c16:uniqueId val="{0000000C-3528-4AEB-9D39-08DECDEAA245}"/>
            </c:ext>
          </c:extLst>
        </c:ser>
        <c:ser>
          <c:idx val="2"/>
          <c:order val="13"/>
          <c:tx>
            <c:strRef>
              <c:f>'Stats Calculator'!$AG$4</c:f>
              <c:strCache>
                <c:ptCount val="1"/>
                <c:pt idx="0">
                  <c:v>11</c:v>
                </c:pt>
              </c:strCache>
            </c:strRef>
          </c:tx>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Calculator'!$AH$4</c:f>
              <c:numCache>
                <c:formatCode>General</c:formatCode>
                <c:ptCount val="1"/>
                <c:pt idx="0">
                  <c:v>0</c:v>
                </c:pt>
              </c:numCache>
            </c:numRef>
          </c:val>
          <c:extLst>
            <c:ext xmlns:c16="http://schemas.microsoft.com/office/drawing/2014/chart" uri="{C3380CC4-5D6E-409C-BE32-E72D297353CC}">
              <c16:uniqueId val="{0000000D-3528-4AEB-9D39-08DECDEAA245}"/>
            </c:ext>
          </c:extLst>
        </c:ser>
        <c:ser>
          <c:idx val="0"/>
          <c:order val="14"/>
          <c:tx>
            <c:strRef>
              <c:f>'Stats Calculator'!$AG$3</c:f>
              <c:strCache>
                <c:ptCount val="1"/>
                <c:pt idx="0">
                  <c:v>12</c:v>
                </c:pt>
              </c:strCache>
            </c:strRef>
          </c:tx>
          <c:spPr>
            <a:solidFill>
              <a:srgbClr val="3366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Calculator'!$AH$3</c:f>
              <c:numCache>
                <c:formatCode>General</c:formatCode>
                <c:ptCount val="1"/>
                <c:pt idx="0">
                  <c:v>12</c:v>
                </c:pt>
              </c:numCache>
            </c:numRef>
          </c:val>
          <c:extLst>
            <c:ext xmlns:c16="http://schemas.microsoft.com/office/drawing/2014/chart" uri="{C3380CC4-5D6E-409C-BE32-E72D297353CC}">
              <c16:uniqueId val="{0000000E-3528-4AEB-9D39-08DECDEAA245}"/>
            </c:ext>
          </c:extLst>
        </c:ser>
        <c:ser>
          <c:idx val="15"/>
          <c:order val="15"/>
          <c:tx>
            <c:strRef>
              <c:f>'Stats Calculator'!$AG$18</c:f>
              <c:strCache>
                <c:ptCount val="1"/>
                <c:pt idx="0">
                  <c:v>Perfect Round</c:v>
                </c:pt>
              </c:strCache>
            </c:strRef>
          </c:tx>
          <c:spPr>
            <a:solidFill>
              <a:srgbClr val="FFFF00"/>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Calculator'!$AH$18</c:f>
              <c:numCache>
                <c:formatCode>General</c:formatCode>
                <c:ptCount val="1"/>
                <c:pt idx="0">
                  <c:v>12</c:v>
                </c:pt>
              </c:numCache>
            </c:numRef>
          </c:val>
          <c:extLst>
            <c:ext xmlns:c16="http://schemas.microsoft.com/office/drawing/2014/chart" uri="{C3380CC4-5D6E-409C-BE32-E72D297353CC}">
              <c16:uniqueId val="{0000000F-3528-4AEB-9D39-08DECDEAA245}"/>
            </c:ext>
          </c:extLst>
        </c:ser>
        <c:dLbls>
          <c:showLegendKey val="0"/>
          <c:showVal val="0"/>
          <c:showCatName val="0"/>
          <c:showSerName val="0"/>
          <c:showPercent val="0"/>
          <c:showBubbleSize val="0"/>
        </c:dLbls>
        <c:gapWidth val="0"/>
        <c:axId val="191418368"/>
        <c:axId val="191419904"/>
      </c:barChart>
      <c:catAx>
        <c:axId val="191418368"/>
        <c:scaling>
          <c:orientation val="minMax"/>
        </c:scaling>
        <c:delete val="1"/>
        <c:axPos val="l"/>
        <c:majorTickMark val="out"/>
        <c:minorTickMark val="none"/>
        <c:tickLblPos val="nextTo"/>
        <c:crossAx val="191419904"/>
        <c:crosses val="autoZero"/>
        <c:auto val="1"/>
        <c:lblAlgn val="ctr"/>
        <c:lblOffset val="100"/>
        <c:noMultiLvlLbl val="0"/>
      </c:catAx>
      <c:valAx>
        <c:axId val="191419904"/>
        <c:scaling>
          <c:orientation val="minMax"/>
          <c:max val="60"/>
          <c:min val="0"/>
        </c:scaling>
        <c:delete val="1"/>
        <c:axPos val="b"/>
        <c:majorGridlines>
          <c:spPr>
            <a:ln w="3175">
              <a:solidFill>
                <a:srgbClr val="C0C0C0"/>
              </a:solidFill>
              <a:prstDash val="solid"/>
            </a:ln>
          </c:spPr>
        </c:majorGridlines>
        <c:numFmt formatCode="General" sourceLinked="1"/>
        <c:majorTickMark val="out"/>
        <c:minorTickMark val="none"/>
        <c:tickLblPos val="nextTo"/>
        <c:crossAx val="191418368"/>
        <c:crosses val="autoZero"/>
        <c:crossBetween val="between"/>
        <c:majorUnit val="250"/>
        <c:minorUnit val="1"/>
      </c:valAx>
      <c:spPr>
        <a:solidFill>
          <a:srgbClr val="FFFFFF"/>
        </a:solidFill>
        <a:ln w="3175">
          <a:solidFill>
            <a:srgbClr val="FFFFFF"/>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42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2467635411283134E-2"/>
          <c:y val="5.3764005418403669E-2"/>
          <c:w val="0.85714557485787479"/>
          <c:h val="0.86022408669445871"/>
        </c:manualLayout>
      </c:layout>
      <c:barChart>
        <c:barDir val="bar"/>
        <c:grouping val="clustered"/>
        <c:varyColors val="0"/>
        <c:ser>
          <c:idx val="0"/>
          <c:order val="0"/>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Calculator'!$AD$8</c:f>
              <c:numCache>
                <c:formatCode>General</c:formatCode>
                <c:ptCount val="1"/>
                <c:pt idx="0">
                  <c:v>49</c:v>
                </c:pt>
              </c:numCache>
            </c:numRef>
          </c:val>
          <c:extLst>
            <c:ext xmlns:c16="http://schemas.microsoft.com/office/drawing/2014/chart" uri="{C3380CC4-5D6E-409C-BE32-E72D297353CC}">
              <c16:uniqueId val="{00000000-5272-448D-B4EE-5BEAE5682356}"/>
            </c:ext>
          </c:extLst>
        </c:ser>
        <c:ser>
          <c:idx val="1"/>
          <c:order val="1"/>
          <c:spPr>
            <a:solidFill>
              <a:srgbClr val="33CCCC"/>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Calculator'!$AC$8</c:f>
              <c:numCache>
                <c:formatCode>General</c:formatCode>
                <c:ptCount val="1"/>
                <c:pt idx="0">
                  <c:v>4</c:v>
                </c:pt>
              </c:numCache>
            </c:numRef>
          </c:val>
          <c:extLst>
            <c:ext xmlns:c16="http://schemas.microsoft.com/office/drawing/2014/chart" uri="{C3380CC4-5D6E-409C-BE32-E72D297353CC}">
              <c16:uniqueId val="{00000001-5272-448D-B4EE-5BEAE5682356}"/>
            </c:ext>
          </c:extLst>
        </c:ser>
        <c:dLbls>
          <c:showLegendKey val="0"/>
          <c:showVal val="0"/>
          <c:showCatName val="0"/>
          <c:showSerName val="0"/>
          <c:showPercent val="0"/>
          <c:showBubbleSize val="0"/>
        </c:dLbls>
        <c:gapWidth val="0"/>
        <c:overlap val="-50"/>
        <c:axId val="190224256"/>
        <c:axId val="190225792"/>
      </c:barChart>
      <c:catAx>
        <c:axId val="190224256"/>
        <c:scaling>
          <c:orientation val="minMax"/>
        </c:scaling>
        <c:delete val="1"/>
        <c:axPos val="l"/>
        <c:majorTickMark val="out"/>
        <c:minorTickMark val="none"/>
        <c:tickLblPos val="nextTo"/>
        <c:crossAx val="190225792"/>
        <c:crosses val="autoZero"/>
        <c:auto val="1"/>
        <c:lblAlgn val="ctr"/>
        <c:lblOffset val="100"/>
        <c:noMultiLvlLbl val="0"/>
      </c:catAx>
      <c:valAx>
        <c:axId val="190225792"/>
        <c:scaling>
          <c:orientation val="minMax"/>
          <c:max val="60"/>
          <c:min val="0"/>
        </c:scaling>
        <c:delete val="1"/>
        <c:axPos val="b"/>
        <c:majorGridlines>
          <c:spPr>
            <a:ln w="3175">
              <a:solidFill>
                <a:srgbClr val="C0C0C0"/>
              </a:solidFill>
              <a:prstDash val="solid"/>
            </a:ln>
          </c:spPr>
        </c:majorGridlines>
        <c:numFmt formatCode="General" sourceLinked="1"/>
        <c:majorTickMark val="out"/>
        <c:minorTickMark val="none"/>
        <c:tickLblPos val="nextTo"/>
        <c:crossAx val="190224256"/>
        <c:crosses val="autoZero"/>
        <c:crossBetween val="between"/>
        <c:majorUnit val="250"/>
        <c:minorUnit val="1"/>
      </c:valAx>
      <c:spPr>
        <a:solidFill>
          <a:srgbClr val="FFFFFF"/>
        </a:solidFill>
        <a:ln w="3175">
          <a:solidFill>
            <a:srgbClr val="FFFFFF"/>
          </a:solidFill>
          <a:prstDash val="solid"/>
        </a:ln>
      </c:spPr>
    </c:plotArea>
    <c:plotVisOnly val="1"/>
    <c:dispBlanksAs val="gap"/>
    <c:showDLblsOverMax val="0"/>
  </c:chart>
  <c:spPr>
    <a:solidFill>
      <a:srgbClr val="FFFFFF"/>
    </a:solidFill>
    <a:ln w="3175">
      <a:solidFill>
        <a:srgbClr val="FFFFFF"/>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2257855653201988E-2"/>
          <c:y val="8.0320676042859335E-2"/>
          <c:w val="0.85806451612903223"/>
          <c:h val="0.8617066037784854"/>
        </c:manualLayout>
      </c:layout>
      <c:barChart>
        <c:barDir val="bar"/>
        <c:grouping val="clustered"/>
        <c:varyColors val="0"/>
        <c:ser>
          <c:idx val="0"/>
          <c:order val="0"/>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Calculator'!$AD$9</c:f>
              <c:numCache>
                <c:formatCode>General</c:formatCode>
                <c:ptCount val="1"/>
                <c:pt idx="0">
                  <c:v>41</c:v>
                </c:pt>
              </c:numCache>
            </c:numRef>
          </c:val>
          <c:extLst>
            <c:ext xmlns:c16="http://schemas.microsoft.com/office/drawing/2014/chart" uri="{C3380CC4-5D6E-409C-BE32-E72D297353CC}">
              <c16:uniqueId val="{00000000-0F09-4F12-AD63-D1D3F27CD395}"/>
            </c:ext>
          </c:extLst>
        </c:ser>
        <c:ser>
          <c:idx val="1"/>
          <c:order val="1"/>
          <c:spPr>
            <a:solidFill>
              <a:srgbClr val="33CCCC"/>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Calculator'!$AC$9</c:f>
              <c:numCache>
                <c:formatCode>General</c:formatCode>
                <c:ptCount val="1"/>
                <c:pt idx="0">
                  <c:v>12</c:v>
                </c:pt>
              </c:numCache>
            </c:numRef>
          </c:val>
          <c:extLst>
            <c:ext xmlns:c16="http://schemas.microsoft.com/office/drawing/2014/chart" uri="{C3380CC4-5D6E-409C-BE32-E72D297353CC}">
              <c16:uniqueId val="{00000001-0F09-4F12-AD63-D1D3F27CD395}"/>
            </c:ext>
          </c:extLst>
        </c:ser>
        <c:dLbls>
          <c:showLegendKey val="0"/>
          <c:showVal val="0"/>
          <c:showCatName val="0"/>
          <c:showSerName val="0"/>
          <c:showPercent val="0"/>
          <c:showBubbleSize val="0"/>
        </c:dLbls>
        <c:gapWidth val="0"/>
        <c:overlap val="-50"/>
        <c:axId val="189163008"/>
        <c:axId val="189164544"/>
      </c:barChart>
      <c:catAx>
        <c:axId val="189163008"/>
        <c:scaling>
          <c:orientation val="minMax"/>
        </c:scaling>
        <c:delete val="1"/>
        <c:axPos val="l"/>
        <c:majorTickMark val="out"/>
        <c:minorTickMark val="none"/>
        <c:tickLblPos val="nextTo"/>
        <c:crossAx val="189164544"/>
        <c:crosses val="autoZero"/>
        <c:auto val="1"/>
        <c:lblAlgn val="ctr"/>
        <c:lblOffset val="100"/>
        <c:noMultiLvlLbl val="0"/>
      </c:catAx>
      <c:valAx>
        <c:axId val="189164544"/>
        <c:scaling>
          <c:orientation val="minMax"/>
          <c:max val="60"/>
          <c:min val="0"/>
        </c:scaling>
        <c:delete val="1"/>
        <c:axPos val="b"/>
        <c:majorGridlines>
          <c:spPr>
            <a:ln w="3175">
              <a:solidFill>
                <a:srgbClr val="C0C0C0"/>
              </a:solidFill>
              <a:prstDash val="solid"/>
            </a:ln>
          </c:spPr>
        </c:majorGridlines>
        <c:numFmt formatCode="General" sourceLinked="1"/>
        <c:majorTickMark val="out"/>
        <c:minorTickMark val="none"/>
        <c:tickLblPos val="nextTo"/>
        <c:crossAx val="189163008"/>
        <c:crosses val="autoZero"/>
        <c:crossBetween val="between"/>
        <c:majorUnit val="250"/>
        <c:minorUnit val="1"/>
      </c:valAx>
      <c:spPr>
        <a:solidFill>
          <a:srgbClr val="FFFFFF"/>
        </a:solidFill>
        <a:ln w="3175">
          <a:solidFill>
            <a:srgbClr val="FFFFFF"/>
          </a:solidFill>
          <a:prstDash val="solid"/>
        </a:ln>
      </c:spPr>
    </c:plotArea>
    <c:plotVisOnly val="1"/>
    <c:dispBlanksAs val="gap"/>
    <c:showDLblsOverMax val="0"/>
  </c:chart>
  <c:spPr>
    <a:solidFill>
      <a:srgbClr val="FFFFFF"/>
    </a:solidFill>
    <a:ln w="3175">
      <a:solidFill>
        <a:srgbClr val="FFFFFF"/>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2051482694077364E-2"/>
          <c:y val="5.2631578947368418E-2"/>
          <c:w val="0.85897973620127333"/>
          <c:h val="0.86315789473684212"/>
        </c:manualLayout>
      </c:layout>
      <c:barChart>
        <c:barDir val="bar"/>
        <c:grouping val="clustered"/>
        <c:varyColors val="0"/>
        <c:ser>
          <c:idx val="0"/>
          <c:order val="0"/>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Calculator'!$AD$10</c:f>
              <c:numCache>
                <c:formatCode>General</c:formatCode>
                <c:ptCount val="1"/>
                <c:pt idx="0">
                  <c:v>34</c:v>
                </c:pt>
              </c:numCache>
            </c:numRef>
          </c:val>
          <c:extLst>
            <c:ext xmlns:c16="http://schemas.microsoft.com/office/drawing/2014/chart" uri="{C3380CC4-5D6E-409C-BE32-E72D297353CC}">
              <c16:uniqueId val="{00000000-7443-4601-A49F-E092D721C471}"/>
            </c:ext>
          </c:extLst>
        </c:ser>
        <c:ser>
          <c:idx val="1"/>
          <c:order val="1"/>
          <c:spPr>
            <a:solidFill>
              <a:srgbClr val="33CCCC"/>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Calculator'!$AC$10</c:f>
              <c:numCache>
                <c:formatCode>General</c:formatCode>
                <c:ptCount val="1"/>
                <c:pt idx="0">
                  <c:v>19</c:v>
                </c:pt>
              </c:numCache>
            </c:numRef>
          </c:val>
          <c:extLst>
            <c:ext xmlns:c16="http://schemas.microsoft.com/office/drawing/2014/chart" uri="{C3380CC4-5D6E-409C-BE32-E72D297353CC}">
              <c16:uniqueId val="{00000001-7443-4601-A49F-E092D721C471}"/>
            </c:ext>
          </c:extLst>
        </c:ser>
        <c:dLbls>
          <c:showLegendKey val="0"/>
          <c:showVal val="0"/>
          <c:showCatName val="0"/>
          <c:showSerName val="0"/>
          <c:showPercent val="0"/>
          <c:showBubbleSize val="0"/>
        </c:dLbls>
        <c:gapWidth val="0"/>
        <c:overlap val="-50"/>
        <c:axId val="189195008"/>
        <c:axId val="189196544"/>
      </c:barChart>
      <c:catAx>
        <c:axId val="189195008"/>
        <c:scaling>
          <c:orientation val="minMax"/>
        </c:scaling>
        <c:delete val="1"/>
        <c:axPos val="l"/>
        <c:majorTickMark val="out"/>
        <c:minorTickMark val="none"/>
        <c:tickLblPos val="nextTo"/>
        <c:crossAx val="189196544"/>
        <c:crosses val="autoZero"/>
        <c:auto val="1"/>
        <c:lblAlgn val="ctr"/>
        <c:lblOffset val="100"/>
        <c:noMultiLvlLbl val="0"/>
      </c:catAx>
      <c:valAx>
        <c:axId val="189196544"/>
        <c:scaling>
          <c:orientation val="minMax"/>
          <c:max val="60"/>
          <c:min val="0"/>
        </c:scaling>
        <c:delete val="1"/>
        <c:axPos val="b"/>
        <c:majorGridlines>
          <c:spPr>
            <a:ln w="3175">
              <a:solidFill>
                <a:srgbClr val="C0C0C0"/>
              </a:solidFill>
              <a:prstDash val="solid"/>
            </a:ln>
          </c:spPr>
        </c:majorGridlines>
        <c:numFmt formatCode="General" sourceLinked="1"/>
        <c:majorTickMark val="out"/>
        <c:minorTickMark val="none"/>
        <c:tickLblPos val="nextTo"/>
        <c:crossAx val="189195008"/>
        <c:crosses val="autoZero"/>
        <c:crossBetween val="between"/>
        <c:majorUnit val="250"/>
        <c:minorUnit val="1"/>
      </c:valAx>
      <c:spPr>
        <a:solidFill>
          <a:srgbClr val="FFFFFF"/>
        </a:solidFill>
        <a:ln w="3175">
          <a:solidFill>
            <a:srgbClr val="FFFFFF"/>
          </a:solidFill>
          <a:prstDash val="solid"/>
        </a:ln>
      </c:spPr>
    </c:plotArea>
    <c:plotVisOnly val="1"/>
    <c:dispBlanksAs val="gap"/>
    <c:showDLblsOverMax val="0"/>
  </c:chart>
  <c:spPr>
    <a:solidFill>
      <a:srgbClr val="FFFFFF"/>
    </a:solidFill>
    <a:ln w="3175">
      <a:solidFill>
        <a:srgbClr val="FFFFFF"/>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2679947150397966E-2"/>
          <c:y val="5.434782608695652E-2"/>
          <c:w val="0.85621461534042675"/>
          <c:h val="0.85869565217391308"/>
        </c:manualLayout>
      </c:layout>
      <c:barChart>
        <c:barDir val="bar"/>
        <c:grouping val="clustered"/>
        <c:varyColors val="0"/>
        <c:ser>
          <c:idx val="0"/>
          <c:order val="0"/>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Calculator'!$AD$11</c:f>
              <c:numCache>
                <c:formatCode>General</c:formatCode>
                <c:ptCount val="1"/>
                <c:pt idx="0">
                  <c:v>43</c:v>
                </c:pt>
              </c:numCache>
            </c:numRef>
          </c:val>
          <c:extLst>
            <c:ext xmlns:c16="http://schemas.microsoft.com/office/drawing/2014/chart" uri="{C3380CC4-5D6E-409C-BE32-E72D297353CC}">
              <c16:uniqueId val="{00000000-A488-40D5-A975-CF5D1472255B}"/>
            </c:ext>
          </c:extLst>
        </c:ser>
        <c:ser>
          <c:idx val="1"/>
          <c:order val="1"/>
          <c:spPr>
            <a:solidFill>
              <a:srgbClr val="33CCCC"/>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Calculator'!$AC$11</c:f>
              <c:numCache>
                <c:formatCode>General</c:formatCode>
                <c:ptCount val="1"/>
                <c:pt idx="0">
                  <c:v>10</c:v>
                </c:pt>
              </c:numCache>
            </c:numRef>
          </c:val>
          <c:extLst>
            <c:ext xmlns:c16="http://schemas.microsoft.com/office/drawing/2014/chart" uri="{C3380CC4-5D6E-409C-BE32-E72D297353CC}">
              <c16:uniqueId val="{00000001-A488-40D5-A975-CF5D1472255B}"/>
            </c:ext>
          </c:extLst>
        </c:ser>
        <c:dLbls>
          <c:showLegendKey val="0"/>
          <c:showVal val="0"/>
          <c:showCatName val="0"/>
          <c:showSerName val="0"/>
          <c:showPercent val="0"/>
          <c:showBubbleSize val="0"/>
        </c:dLbls>
        <c:gapWidth val="0"/>
        <c:overlap val="-50"/>
        <c:axId val="190283776"/>
        <c:axId val="190285312"/>
      </c:barChart>
      <c:catAx>
        <c:axId val="190283776"/>
        <c:scaling>
          <c:orientation val="minMax"/>
        </c:scaling>
        <c:delete val="1"/>
        <c:axPos val="l"/>
        <c:majorTickMark val="out"/>
        <c:minorTickMark val="none"/>
        <c:tickLblPos val="nextTo"/>
        <c:crossAx val="190285312"/>
        <c:crosses val="autoZero"/>
        <c:auto val="1"/>
        <c:lblAlgn val="ctr"/>
        <c:lblOffset val="100"/>
        <c:noMultiLvlLbl val="0"/>
      </c:catAx>
      <c:valAx>
        <c:axId val="190285312"/>
        <c:scaling>
          <c:orientation val="minMax"/>
          <c:max val="60"/>
          <c:min val="0"/>
        </c:scaling>
        <c:delete val="1"/>
        <c:axPos val="b"/>
        <c:majorGridlines>
          <c:spPr>
            <a:ln w="3175">
              <a:solidFill>
                <a:srgbClr val="C0C0C0"/>
              </a:solidFill>
              <a:prstDash val="solid"/>
            </a:ln>
          </c:spPr>
        </c:majorGridlines>
        <c:numFmt formatCode="General" sourceLinked="1"/>
        <c:majorTickMark val="out"/>
        <c:minorTickMark val="none"/>
        <c:tickLblPos val="nextTo"/>
        <c:crossAx val="190283776"/>
        <c:crosses val="autoZero"/>
        <c:crossBetween val="between"/>
        <c:majorUnit val="250"/>
        <c:minorUnit val="1"/>
      </c:valAx>
      <c:spPr>
        <a:solidFill>
          <a:srgbClr val="FFFFFF"/>
        </a:solidFill>
        <a:ln w="3175">
          <a:solidFill>
            <a:srgbClr val="FFFFFF"/>
          </a:solidFill>
          <a:prstDash val="solid"/>
        </a:ln>
      </c:spPr>
    </c:plotArea>
    <c:plotVisOnly val="1"/>
    <c:dispBlanksAs val="gap"/>
    <c:showDLblsOverMax val="0"/>
  </c:chart>
  <c:spPr>
    <a:solidFill>
      <a:srgbClr val="FFFFFF"/>
    </a:solidFill>
    <a:ln w="3175">
      <a:solidFill>
        <a:srgbClr val="FFFFFF"/>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2467635411283134E-2"/>
          <c:y val="5.3764005418403669E-2"/>
          <c:w val="0.85714557485787479"/>
          <c:h val="0.86022408669445871"/>
        </c:manualLayout>
      </c:layout>
      <c:barChart>
        <c:barDir val="bar"/>
        <c:grouping val="clustered"/>
        <c:varyColors val="0"/>
        <c:ser>
          <c:idx val="0"/>
          <c:order val="0"/>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Calculator'!$AD$12</c:f>
              <c:numCache>
                <c:formatCode>General</c:formatCode>
                <c:ptCount val="1"/>
                <c:pt idx="0">
                  <c:v>51</c:v>
                </c:pt>
              </c:numCache>
            </c:numRef>
          </c:val>
          <c:extLst>
            <c:ext xmlns:c16="http://schemas.microsoft.com/office/drawing/2014/chart" uri="{C3380CC4-5D6E-409C-BE32-E72D297353CC}">
              <c16:uniqueId val="{00000000-98B1-424F-BDB4-FEBCE41E6DAC}"/>
            </c:ext>
          </c:extLst>
        </c:ser>
        <c:ser>
          <c:idx val="1"/>
          <c:order val="1"/>
          <c:spPr>
            <a:solidFill>
              <a:srgbClr val="33CCCC"/>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Calculator'!$AC$12</c:f>
              <c:numCache>
                <c:formatCode>General</c:formatCode>
                <c:ptCount val="1"/>
                <c:pt idx="0">
                  <c:v>2</c:v>
                </c:pt>
              </c:numCache>
            </c:numRef>
          </c:val>
          <c:extLst>
            <c:ext xmlns:c16="http://schemas.microsoft.com/office/drawing/2014/chart" uri="{C3380CC4-5D6E-409C-BE32-E72D297353CC}">
              <c16:uniqueId val="{00000001-98B1-424F-BDB4-FEBCE41E6DAC}"/>
            </c:ext>
          </c:extLst>
        </c:ser>
        <c:dLbls>
          <c:showLegendKey val="0"/>
          <c:showVal val="0"/>
          <c:showCatName val="0"/>
          <c:showSerName val="0"/>
          <c:showPercent val="0"/>
          <c:showBubbleSize val="0"/>
        </c:dLbls>
        <c:gapWidth val="0"/>
        <c:overlap val="-50"/>
        <c:axId val="190315520"/>
        <c:axId val="190317312"/>
      </c:barChart>
      <c:catAx>
        <c:axId val="190315520"/>
        <c:scaling>
          <c:orientation val="minMax"/>
        </c:scaling>
        <c:delete val="1"/>
        <c:axPos val="l"/>
        <c:majorTickMark val="out"/>
        <c:minorTickMark val="none"/>
        <c:tickLblPos val="nextTo"/>
        <c:crossAx val="190317312"/>
        <c:crosses val="autoZero"/>
        <c:auto val="1"/>
        <c:lblAlgn val="ctr"/>
        <c:lblOffset val="100"/>
        <c:noMultiLvlLbl val="0"/>
      </c:catAx>
      <c:valAx>
        <c:axId val="190317312"/>
        <c:scaling>
          <c:orientation val="minMax"/>
          <c:max val="60"/>
          <c:min val="0"/>
        </c:scaling>
        <c:delete val="1"/>
        <c:axPos val="b"/>
        <c:majorGridlines>
          <c:spPr>
            <a:ln w="3175">
              <a:solidFill>
                <a:srgbClr val="C0C0C0"/>
              </a:solidFill>
              <a:prstDash val="solid"/>
            </a:ln>
          </c:spPr>
        </c:majorGridlines>
        <c:numFmt formatCode="General" sourceLinked="1"/>
        <c:majorTickMark val="out"/>
        <c:minorTickMark val="none"/>
        <c:tickLblPos val="nextTo"/>
        <c:crossAx val="190315520"/>
        <c:crosses val="autoZero"/>
        <c:crossBetween val="between"/>
        <c:majorUnit val="250"/>
        <c:minorUnit val="1"/>
      </c:valAx>
      <c:spPr>
        <a:solidFill>
          <a:srgbClr val="FFFFFF"/>
        </a:solidFill>
        <a:ln w="3175">
          <a:solidFill>
            <a:srgbClr val="FFFFFF"/>
          </a:solidFill>
          <a:prstDash val="solid"/>
        </a:ln>
      </c:spPr>
    </c:plotArea>
    <c:plotVisOnly val="1"/>
    <c:dispBlanksAs val="gap"/>
    <c:showDLblsOverMax val="0"/>
  </c:chart>
  <c:spPr>
    <a:solidFill>
      <a:srgbClr val="FFFFFF"/>
    </a:solidFill>
    <a:ln w="3175">
      <a:solidFill>
        <a:srgbClr val="FFFFFF"/>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2258064516129031E-2"/>
          <c:y val="5.3191765665338606E-2"/>
          <c:w val="0.85806451612903223"/>
          <c:h val="0.8617066037784854"/>
        </c:manualLayout>
      </c:layout>
      <c:barChart>
        <c:barDir val="bar"/>
        <c:grouping val="clustered"/>
        <c:varyColors val="0"/>
        <c:ser>
          <c:idx val="0"/>
          <c:order val="0"/>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Calculator'!$AD$13</c:f>
              <c:numCache>
                <c:formatCode>General</c:formatCode>
                <c:ptCount val="1"/>
                <c:pt idx="0">
                  <c:v>5</c:v>
                </c:pt>
              </c:numCache>
            </c:numRef>
          </c:val>
          <c:extLst>
            <c:ext xmlns:c16="http://schemas.microsoft.com/office/drawing/2014/chart" uri="{C3380CC4-5D6E-409C-BE32-E72D297353CC}">
              <c16:uniqueId val="{00000000-3D95-4F39-B234-39E4C5598FE3}"/>
            </c:ext>
          </c:extLst>
        </c:ser>
        <c:ser>
          <c:idx val="1"/>
          <c:order val="1"/>
          <c:spPr>
            <a:solidFill>
              <a:srgbClr val="33CCCC"/>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Calculator'!$AC$13</c:f>
              <c:numCache>
                <c:formatCode>General</c:formatCode>
                <c:ptCount val="1"/>
                <c:pt idx="0">
                  <c:v>48</c:v>
                </c:pt>
              </c:numCache>
            </c:numRef>
          </c:val>
          <c:extLst>
            <c:ext xmlns:c16="http://schemas.microsoft.com/office/drawing/2014/chart" uri="{C3380CC4-5D6E-409C-BE32-E72D297353CC}">
              <c16:uniqueId val="{00000001-3D95-4F39-B234-39E4C5598FE3}"/>
            </c:ext>
          </c:extLst>
        </c:ser>
        <c:dLbls>
          <c:showLegendKey val="0"/>
          <c:showVal val="0"/>
          <c:showCatName val="0"/>
          <c:showSerName val="0"/>
          <c:showPercent val="0"/>
          <c:showBubbleSize val="0"/>
        </c:dLbls>
        <c:gapWidth val="0"/>
        <c:overlap val="-50"/>
        <c:axId val="190355712"/>
        <c:axId val="190369792"/>
      </c:barChart>
      <c:catAx>
        <c:axId val="190355712"/>
        <c:scaling>
          <c:orientation val="minMax"/>
        </c:scaling>
        <c:delete val="1"/>
        <c:axPos val="l"/>
        <c:majorTickMark val="out"/>
        <c:minorTickMark val="none"/>
        <c:tickLblPos val="nextTo"/>
        <c:crossAx val="190369792"/>
        <c:crosses val="autoZero"/>
        <c:auto val="1"/>
        <c:lblAlgn val="ctr"/>
        <c:lblOffset val="100"/>
        <c:noMultiLvlLbl val="0"/>
      </c:catAx>
      <c:valAx>
        <c:axId val="190369792"/>
        <c:scaling>
          <c:orientation val="minMax"/>
          <c:max val="60"/>
          <c:min val="0"/>
        </c:scaling>
        <c:delete val="1"/>
        <c:axPos val="b"/>
        <c:majorGridlines>
          <c:spPr>
            <a:ln w="3175">
              <a:solidFill>
                <a:srgbClr val="C0C0C0"/>
              </a:solidFill>
              <a:prstDash val="solid"/>
            </a:ln>
          </c:spPr>
        </c:majorGridlines>
        <c:numFmt formatCode="General" sourceLinked="1"/>
        <c:majorTickMark val="out"/>
        <c:minorTickMark val="none"/>
        <c:tickLblPos val="nextTo"/>
        <c:crossAx val="190355712"/>
        <c:crosses val="autoZero"/>
        <c:crossBetween val="between"/>
        <c:majorUnit val="250"/>
        <c:minorUnit val="1"/>
      </c:valAx>
      <c:spPr>
        <a:solidFill>
          <a:srgbClr val="FFFFFF"/>
        </a:solidFill>
        <a:ln w="3175">
          <a:solidFill>
            <a:srgbClr val="FFFFFF"/>
          </a:solidFill>
          <a:prstDash val="solid"/>
        </a:ln>
      </c:spPr>
    </c:plotArea>
    <c:plotVisOnly val="1"/>
    <c:dispBlanksAs val="gap"/>
    <c:showDLblsOverMax val="0"/>
  </c:chart>
  <c:spPr>
    <a:solidFill>
      <a:srgbClr val="FFFFFF"/>
    </a:solidFill>
    <a:ln w="3175">
      <a:solidFill>
        <a:srgbClr val="FFFFFF"/>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2051482694077364E-2"/>
          <c:y val="5.2631578947368418E-2"/>
          <c:w val="0.85897973620127333"/>
          <c:h val="0.86315789473684212"/>
        </c:manualLayout>
      </c:layout>
      <c:barChart>
        <c:barDir val="bar"/>
        <c:grouping val="clustered"/>
        <c:varyColors val="0"/>
        <c:ser>
          <c:idx val="0"/>
          <c:order val="0"/>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Calculator'!$AD$14</c:f>
              <c:numCache>
                <c:formatCode>General</c:formatCode>
                <c:ptCount val="1"/>
                <c:pt idx="0">
                  <c:v>12</c:v>
                </c:pt>
              </c:numCache>
            </c:numRef>
          </c:val>
          <c:extLst>
            <c:ext xmlns:c16="http://schemas.microsoft.com/office/drawing/2014/chart" uri="{C3380CC4-5D6E-409C-BE32-E72D297353CC}">
              <c16:uniqueId val="{00000000-EBCC-43A3-A963-4FD7FB8B879D}"/>
            </c:ext>
          </c:extLst>
        </c:ser>
        <c:ser>
          <c:idx val="1"/>
          <c:order val="1"/>
          <c:spPr>
            <a:solidFill>
              <a:srgbClr val="33CCCC"/>
            </a:solidFill>
            <a:ln w="12700">
              <a:solidFill>
                <a:srgbClr val="000000"/>
              </a:solidFill>
              <a:prstDash val="solid"/>
            </a:ln>
            <a:effectLst>
              <a:outerShdw dist="35921" dir="2700000" algn="br">
                <a:srgbClr val="000000"/>
              </a:outerShdw>
            </a:effectLst>
          </c:spPr>
          <c:invertIfNegative val="0"/>
          <c:dLbls>
            <c:dLbl>
              <c:idx val="0"/>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extLst>
                <c:ext xmlns:c16="http://schemas.microsoft.com/office/drawing/2014/chart" uri="{C3380CC4-5D6E-409C-BE32-E72D297353CC}">
                  <c16:uniqueId val="{00000001-EBCC-43A3-A963-4FD7FB8B879D}"/>
                </c:ext>
              </c:extLst>
            </c:dLbl>
            <c:spPr>
              <a:noFill/>
              <a:ln w="25400">
                <a:noFill/>
              </a:ln>
            </c:spPr>
            <c:txPr>
              <a:bodyPr/>
              <a:lstStyle/>
              <a:p>
                <a:pPr>
                  <a:defRPr sz="2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Calculator'!$AC$14</c:f>
              <c:numCache>
                <c:formatCode>General</c:formatCode>
                <c:ptCount val="1"/>
                <c:pt idx="0">
                  <c:v>41</c:v>
                </c:pt>
              </c:numCache>
            </c:numRef>
          </c:val>
          <c:extLst>
            <c:ext xmlns:c16="http://schemas.microsoft.com/office/drawing/2014/chart" uri="{C3380CC4-5D6E-409C-BE32-E72D297353CC}">
              <c16:uniqueId val="{00000002-EBCC-43A3-A963-4FD7FB8B879D}"/>
            </c:ext>
          </c:extLst>
        </c:ser>
        <c:dLbls>
          <c:showLegendKey val="0"/>
          <c:showVal val="0"/>
          <c:showCatName val="0"/>
          <c:showSerName val="0"/>
          <c:showPercent val="0"/>
          <c:showBubbleSize val="0"/>
        </c:dLbls>
        <c:gapWidth val="0"/>
        <c:overlap val="-50"/>
        <c:axId val="190805504"/>
        <c:axId val="190807040"/>
      </c:barChart>
      <c:catAx>
        <c:axId val="190805504"/>
        <c:scaling>
          <c:orientation val="minMax"/>
        </c:scaling>
        <c:delete val="1"/>
        <c:axPos val="l"/>
        <c:majorTickMark val="out"/>
        <c:minorTickMark val="none"/>
        <c:tickLblPos val="nextTo"/>
        <c:crossAx val="190807040"/>
        <c:crosses val="autoZero"/>
        <c:auto val="1"/>
        <c:lblAlgn val="ctr"/>
        <c:lblOffset val="100"/>
        <c:noMultiLvlLbl val="0"/>
      </c:catAx>
      <c:valAx>
        <c:axId val="190807040"/>
        <c:scaling>
          <c:orientation val="minMax"/>
          <c:max val="60"/>
          <c:min val="0"/>
        </c:scaling>
        <c:delete val="1"/>
        <c:axPos val="b"/>
        <c:majorGridlines>
          <c:spPr>
            <a:ln w="3175">
              <a:solidFill>
                <a:srgbClr val="C0C0C0"/>
              </a:solidFill>
              <a:prstDash val="solid"/>
            </a:ln>
          </c:spPr>
        </c:majorGridlines>
        <c:numFmt formatCode="General" sourceLinked="1"/>
        <c:majorTickMark val="out"/>
        <c:minorTickMark val="none"/>
        <c:tickLblPos val="nextTo"/>
        <c:crossAx val="190805504"/>
        <c:crosses val="autoZero"/>
        <c:crossBetween val="between"/>
        <c:majorUnit val="250"/>
        <c:minorUnit val="1"/>
      </c:valAx>
      <c:spPr>
        <a:solidFill>
          <a:srgbClr val="FFFFFF"/>
        </a:solidFill>
        <a:ln w="3175">
          <a:solidFill>
            <a:srgbClr val="FFFFFF"/>
          </a:solidFill>
          <a:prstDash val="solid"/>
        </a:ln>
      </c:spPr>
    </c:plotArea>
    <c:plotVisOnly val="1"/>
    <c:dispBlanksAs val="gap"/>
    <c:showDLblsOverMax val="0"/>
  </c:chart>
  <c:spPr>
    <a:solidFill>
      <a:srgbClr val="FFFFFF"/>
    </a:solidFill>
    <a:ln w="3175">
      <a:solidFill>
        <a:srgbClr val="FFFFFF"/>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1.9684862473188715E-2"/>
          <c:y val="2.2393274314859287E-3"/>
          <c:w val="0.96456692913385822"/>
          <c:h val="0.84883720930232553"/>
        </c:manualLayout>
      </c:layout>
      <c:barChart>
        <c:barDir val="bar"/>
        <c:grouping val="clustered"/>
        <c:varyColors val="0"/>
        <c:ser>
          <c:idx val="0"/>
          <c:order val="0"/>
          <c:tx>
            <c:v>Total Standouts</c:v>
          </c:tx>
          <c:spPr>
            <a:solidFill>
              <a:srgbClr val="FF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900" b="0" i="0" u="none" strike="noStrike" baseline="0">
                    <a:solidFill>
                      <a:srgbClr val="000000"/>
                    </a:solidFill>
                    <a:latin typeface="Arial"/>
                    <a:ea typeface="Arial"/>
                    <a:cs typeface="Arial"/>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Calculator'!$V$23</c:f>
              <c:numCache>
                <c:formatCode>General</c:formatCode>
                <c:ptCount val="1"/>
                <c:pt idx="0">
                  <c:v>53</c:v>
                </c:pt>
              </c:numCache>
            </c:numRef>
          </c:val>
          <c:extLst>
            <c:ext xmlns:c16="http://schemas.microsoft.com/office/drawing/2014/chart" uri="{C3380CC4-5D6E-409C-BE32-E72D297353CC}">
              <c16:uniqueId val="{00000000-BBC8-4530-B479-CA4BB113E88B}"/>
            </c:ext>
          </c:extLst>
        </c:ser>
        <c:ser>
          <c:idx val="2"/>
          <c:order val="1"/>
          <c:tx>
            <c:v>Total Recd</c:v>
          </c:tx>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900" b="0" i="0" u="none" strike="noStrike" baseline="0">
                    <a:solidFill>
                      <a:srgbClr val="000000"/>
                    </a:solidFill>
                    <a:latin typeface="Arial"/>
                    <a:ea typeface="Arial"/>
                    <a:cs typeface="Arial"/>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Calculator'!$V$22</c:f>
              <c:numCache>
                <c:formatCode>General</c:formatCode>
                <c:ptCount val="1"/>
                <c:pt idx="0">
                  <c:v>53</c:v>
                </c:pt>
              </c:numCache>
            </c:numRef>
          </c:val>
          <c:extLst>
            <c:ext xmlns:c16="http://schemas.microsoft.com/office/drawing/2014/chart" uri="{C3380CC4-5D6E-409C-BE32-E72D297353CC}">
              <c16:uniqueId val="{00000001-BBC8-4530-B479-CA4BB113E88B}"/>
            </c:ext>
          </c:extLst>
        </c:ser>
        <c:ser>
          <c:idx val="1"/>
          <c:order val="2"/>
          <c:tx>
            <c:v>Total Tipsters</c:v>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900" b="0" i="0" u="none" strike="noStrike" baseline="0">
                    <a:solidFill>
                      <a:srgbClr val="000000"/>
                    </a:solidFill>
                    <a:latin typeface="Arial"/>
                    <a:ea typeface="Arial"/>
                    <a:cs typeface="Arial"/>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Calculator'!$V$21</c:f>
              <c:numCache>
                <c:formatCode>General</c:formatCode>
                <c:ptCount val="1"/>
                <c:pt idx="0">
                  <c:v>54</c:v>
                </c:pt>
              </c:numCache>
            </c:numRef>
          </c:val>
          <c:extLst>
            <c:ext xmlns:c16="http://schemas.microsoft.com/office/drawing/2014/chart" uri="{C3380CC4-5D6E-409C-BE32-E72D297353CC}">
              <c16:uniqueId val="{00000002-BBC8-4530-B479-CA4BB113E88B}"/>
            </c:ext>
          </c:extLst>
        </c:ser>
        <c:dLbls>
          <c:showLegendKey val="0"/>
          <c:showVal val="0"/>
          <c:showCatName val="0"/>
          <c:showSerName val="0"/>
          <c:showPercent val="0"/>
          <c:showBubbleSize val="0"/>
        </c:dLbls>
        <c:gapWidth val="0"/>
        <c:axId val="190830848"/>
        <c:axId val="190861312"/>
      </c:barChart>
      <c:catAx>
        <c:axId val="190830848"/>
        <c:scaling>
          <c:orientation val="minMax"/>
        </c:scaling>
        <c:delete val="1"/>
        <c:axPos val="l"/>
        <c:majorTickMark val="out"/>
        <c:minorTickMark val="none"/>
        <c:tickLblPos val="nextTo"/>
        <c:crossAx val="190861312"/>
        <c:crosses val="autoZero"/>
        <c:auto val="1"/>
        <c:lblAlgn val="ctr"/>
        <c:lblOffset val="100"/>
        <c:noMultiLvlLbl val="0"/>
      </c:catAx>
      <c:valAx>
        <c:axId val="190861312"/>
        <c:scaling>
          <c:orientation val="minMax"/>
          <c:max val="60"/>
          <c:min val="0"/>
        </c:scaling>
        <c:delete val="1"/>
        <c:axPos val="b"/>
        <c:numFmt formatCode="General" sourceLinked="1"/>
        <c:majorTickMark val="out"/>
        <c:minorTickMark val="none"/>
        <c:tickLblPos val="nextTo"/>
        <c:crossAx val="190830848"/>
        <c:crosses val="autoZero"/>
        <c:crossBetween val="between"/>
        <c:majorUnit val="250"/>
        <c:minorUnit val="1"/>
      </c:valAx>
      <c:spPr>
        <a:noFill/>
        <a:ln w="25400">
          <a:noFill/>
        </a:ln>
      </c:spPr>
    </c:plotArea>
    <c:plotVisOnly val="1"/>
    <c:dispBlanksAs val="gap"/>
    <c:showDLblsOverMax val="0"/>
  </c:chart>
  <c:spPr>
    <a:solidFill>
      <a:srgbClr val="FFFFFF"/>
    </a:solidFill>
    <a:ln w="3175">
      <a:solidFill>
        <a:srgbClr val="FFFFFF"/>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image" Target="../media/image3.png"/><Relationship Id="rId18" Type="http://schemas.openxmlformats.org/officeDocument/2006/relationships/image" Target="../media/image8.png"/><Relationship Id="rId26" Type="http://schemas.openxmlformats.org/officeDocument/2006/relationships/image" Target="../media/image16.png"/><Relationship Id="rId3" Type="http://schemas.openxmlformats.org/officeDocument/2006/relationships/chart" Target="../charts/chart3.xml"/><Relationship Id="rId21" Type="http://schemas.openxmlformats.org/officeDocument/2006/relationships/image" Target="../media/image11.png"/><Relationship Id="rId7" Type="http://schemas.openxmlformats.org/officeDocument/2006/relationships/chart" Target="../charts/chart7.xml"/><Relationship Id="rId12" Type="http://schemas.openxmlformats.org/officeDocument/2006/relationships/image" Target="../media/image2.png"/><Relationship Id="rId17" Type="http://schemas.openxmlformats.org/officeDocument/2006/relationships/image" Target="../media/image7.png"/><Relationship Id="rId25" Type="http://schemas.openxmlformats.org/officeDocument/2006/relationships/image" Target="../media/image15.png"/><Relationship Id="rId2" Type="http://schemas.openxmlformats.org/officeDocument/2006/relationships/chart" Target="../charts/chart2.xml"/><Relationship Id="rId16" Type="http://schemas.openxmlformats.org/officeDocument/2006/relationships/image" Target="../media/image6.png"/><Relationship Id="rId20" Type="http://schemas.openxmlformats.org/officeDocument/2006/relationships/image" Target="../media/image10.png"/><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1.png"/><Relationship Id="rId24" Type="http://schemas.openxmlformats.org/officeDocument/2006/relationships/image" Target="../media/image14.png"/><Relationship Id="rId5" Type="http://schemas.openxmlformats.org/officeDocument/2006/relationships/chart" Target="../charts/chart5.xml"/><Relationship Id="rId15" Type="http://schemas.openxmlformats.org/officeDocument/2006/relationships/image" Target="../media/image5.png"/><Relationship Id="rId23" Type="http://schemas.openxmlformats.org/officeDocument/2006/relationships/image" Target="../media/image13.png"/><Relationship Id="rId28" Type="http://schemas.openxmlformats.org/officeDocument/2006/relationships/image" Target="../media/image18.png"/><Relationship Id="rId10" Type="http://schemas.openxmlformats.org/officeDocument/2006/relationships/chart" Target="../charts/chart10.xml"/><Relationship Id="rId19" Type="http://schemas.openxmlformats.org/officeDocument/2006/relationships/image" Target="../media/image9.png"/><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image" Target="../media/image4.png"/><Relationship Id="rId22" Type="http://schemas.openxmlformats.org/officeDocument/2006/relationships/image" Target="../media/image12.png"/><Relationship Id="rId27" Type="http://schemas.openxmlformats.org/officeDocument/2006/relationships/image" Target="../media/image17.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8" Type="http://schemas.openxmlformats.org/officeDocument/2006/relationships/image" Target="../media/image8.png"/><Relationship Id="rId13" Type="http://schemas.openxmlformats.org/officeDocument/2006/relationships/image" Target="../media/image13.png"/><Relationship Id="rId3" Type="http://schemas.openxmlformats.org/officeDocument/2006/relationships/image" Target="../media/image4.png"/><Relationship Id="rId7" Type="http://schemas.openxmlformats.org/officeDocument/2006/relationships/image" Target="../media/image16.png"/><Relationship Id="rId12" Type="http://schemas.openxmlformats.org/officeDocument/2006/relationships/image" Target="../media/image17.png"/><Relationship Id="rId17" Type="http://schemas.openxmlformats.org/officeDocument/2006/relationships/image" Target="../media/image14.png"/><Relationship Id="rId2" Type="http://schemas.openxmlformats.org/officeDocument/2006/relationships/image" Target="../media/image19.png"/><Relationship Id="rId16" Type="http://schemas.openxmlformats.org/officeDocument/2006/relationships/image" Target="../media/image5.png"/><Relationship Id="rId1" Type="http://schemas.openxmlformats.org/officeDocument/2006/relationships/image" Target="../media/image10.png"/><Relationship Id="rId6" Type="http://schemas.openxmlformats.org/officeDocument/2006/relationships/image" Target="../media/image11.png"/><Relationship Id="rId11" Type="http://schemas.openxmlformats.org/officeDocument/2006/relationships/image" Target="../media/image12.png"/><Relationship Id="rId5" Type="http://schemas.openxmlformats.org/officeDocument/2006/relationships/image" Target="../media/image6.png"/><Relationship Id="rId15" Type="http://schemas.openxmlformats.org/officeDocument/2006/relationships/image" Target="../media/image3.png"/><Relationship Id="rId10" Type="http://schemas.openxmlformats.org/officeDocument/2006/relationships/image" Target="../media/image9.png"/><Relationship Id="rId4" Type="http://schemas.openxmlformats.org/officeDocument/2006/relationships/image" Target="../media/image18.png"/><Relationship Id="rId9" Type="http://schemas.openxmlformats.org/officeDocument/2006/relationships/image" Target="../media/image15.png"/><Relationship Id="rId14" Type="http://schemas.openxmlformats.org/officeDocument/2006/relationships/image" Target="../media/image7.png"/></Relationships>
</file>

<file path=xl/drawings/drawing1.xml><?xml version="1.0" encoding="utf-8"?>
<xdr:wsDr xmlns:xdr="http://schemas.openxmlformats.org/drawingml/2006/spreadsheetDrawing" xmlns:a="http://schemas.openxmlformats.org/drawingml/2006/main">
  <xdr:twoCellAnchor>
    <xdr:from>
      <xdr:col>14</xdr:col>
      <xdr:colOff>12700</xdr:colOff>
      <xdr:row>31</xdr:row>
      <xdr:rowOff>76200</xdr:rowOff>
    </xdr:from>
    <xdr:to>
      <xdr:col>15</xdr:col>
      <xdr:colOff>698500</xdr:colOff>
      <xdr:row>36</xdr:row>
      <xdr:rowOff>139700</xdr:rowOff>
    </xdr:to>
    <xdr:graphicFrame macro="">
      <xdr:nvGraphicFramePr>
        <xdr:cNvPr id="2" name="Chart 70">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12700</xdr:colOff>
      <xdr:row>22</xdr:row>
      <xdr:rowOff>38100</xdr:rowOff>
    </xdr:from>
    <xdr:to>
      <xdr:col>15</xdr:col>
      <xdr:colOff>711200</xdr:colOff>
      <xdr:row>27</xdr:row>
      <xdr:rowOff>107950</xdr:rowOff>
    </xdr:to>
    <xdr:graphicFrame macro="">
      <xdr:nvGraphicFramePr>
        <xdr:cNvPr id="3" name="Chart 72">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14</xdr:col>
      <xdr:colOff>12700</xdr:colOff>
      <xdr:row>13</xdr:row>
      <xdr:rowOff>57150</xdr:rowOff>
    </xdr:from>
    <xdr:to>
      <xdr:col>15</xdr:col>
      <xdr:colOff>717550</xdr:colOff>
      <xdr:row>18</xdr:row>
      <xdr:rowOff>139700</xdr:rowOff>
    </xdr:to>
    <xdr:graphicFrame macro="">
      <xdr:nvGraphicFramePr>
        <xdr:cNvPr id="4" name="Chart 73">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14</xdr:col>
      <xdr:colOff>19050</xdr:colOff>
      <xdr:row>4</xdr:row>
      <xdr:rowOff>57150</xdr:rowOff>
    </xdr:from>
    <xdr:to>
      <xdr:col>15</xdr:col>
      <xdr:colOff>736600</xdr:colOff>
      <xdr:row>9</xdr:row>
      <xdr:rowOff>152400</xdr:rowOff>
    </xdr:to>
    <xdr:graphicFrame macro="">
      <xdr:nvGraphicFramePr>
        <xdr:cNvPr id="5" name="Chart 76">
          <a:extLst>
            <a:ext uri="{FF2B5EF4-FFF2-40B4-BE49-F238E27FC236}">
              <a16:creationId xmlns:a16="http://schemas.microsoft.com/office/drawing/2014/main"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8</xdr:col>
      <xdr:colOff>12700</xdr:colOff>
      <xdr:row>31</xdr:row>
      <xdr:rowOff>76200</xdr:rowOff>
    </xdr:from>
    <xdr:to>
      <xdr:col>9</xdr:col>
      <xdr:colOff>698500</xdr:colOff>
      <xdr:row>36</xdr:row>
      <xdr:rowOff>139700</xdr:rowOff>
    </xdr:to>
    <xdr:graphicFrame macro="">
      <xdr:nvGraphicFramePr>
        <xdr:cNvPr id="6" name="Chart 85">
          <a:extLst>
            <a:ext uri="{FF2B5EF4-FFF2-40B4-BE49-F238E27FC236}">
              <a16:creationId xmlns:a16="http://schemas.microsoft.com/office/drawing/2014/main" id="{00000000-0008-0000-00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8</xdr:col>
      <xdr:colOff>12700</xdr:colOff>
      <xdr:row>22</xdr:row>
      <xdr:rowOff>38100</xdr:rowOff>
    </xdr:from>
    <xdr:to>
      <xdr:col>9</xdr:col>
      <xdr:colOff>711200</xdr:colOff>
      <xdr:row>27</xdr:row>
      <xdr:rowOff>107950</xdr:rowOff>
    </xdr:to>
    <xdr:graphicFrame macro="">
      <xdr:nvGraphicFramePr>
        <xdr:cNvPr id="7" name="Chart 86">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8</xdr:col>
      <xdr:colOff>12700</xdr:colOff>
      <xdr:row>13</xdr:row>
      <xdr:rowOff>57150</xdr:rowOff>
    </xdr:from>
    <xdr:to>
      <xdr:col>9</xdr:col>
      <xdr:colOff>717550</xdr:colOff>
      <xdr:row>18</xdr:row>
      <xdr:rowOff>139700</xdr:rowOff>
    </xdr:to>
    <xdr:graphicFrame macro="">
      <xdr:nvGraphicFramePr>
        <xdr:cNvPr id="8" name="Chart 87">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8</xdr:col>
      <xdr:colOff>19050</xdr:colOff>
      <xdr:row>4</xdr:row>
      <xdr:rowOff>57150</xdr:rowOff>
    </xdr:from>
    <xdr:to>
      <xdr:col>9</xdr:col>
      <xdr:colOff>736600</xdr:colOff>
      <xdr:row>9</xdr:row>
      <xdr:rowOff>152400</xdr:rowOff>
    </xdr:to>
    <xdr:graphicFrame macro="">
      <xdr:nvGraphicFramePr>
        <xdr:cNvPr id="9" name="Chart 88">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xdr:col>
      <xdr:colOff>482600</xdr:colOff>
      <xdr:row>3</xdr:row>
      <xdr:rowOff>62090</xdr:rowOff>
    </xdr:from>
    <xdr:to>
      <xdr:col>5</xdr:col>
      <xdr:colOff>63500</xdr:colOff>
      <xdr:row>8</xdr:row>
      <xdr:rowOff>95956</xdr:rowOff>
    </xdr:to>
    <xdr:graphicFrame macro="">
      <xdr:nvGraphicFramePr>
        <xdr:cNvPr id="10" name="Chart 284">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2</xdr:col>
      <xdr:colOff>241300</xdr:colOff>
      <xdr:row>12</xdr:row>
      <xdr:rowOff>65616</xdr:rowOff>
    </xdr:from>
    <xdr:to>
      <xdr:col>4</xdr:col>
      <xdr:colOff>2101850</xdr:colOff>
      <xdr:row>29</xdr:row>
      <xdr:rowOff>65616</xdr:rowOff>
    </xdr:to>
    <xdr:graphicFrame macro="">
      <xdr:nvGraphicFramePr>
        <xdr:cNvPr id="11" name="Chart 285">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editAs="oneCell">
    <xdr:from>
      <xdr:col>1</xdr:col>
      <xdr:colOff>74083</xdr:colOff>
      <xdr:row>1</xdr:row>
      <xdr:rowOff>95250</xdr:rowOff>
    </xdr:from>
    <xdr:to>
      <xdr:col>4</xdr:col>
      <xdr:colOff>940813</xdr:colOff>
      <xdr:row>1</xdr:row>
      <xdr:rowOff>1068916</xdr:rowOff>
    </xdr:to>
    <xdr:pic>
      <xdr:nvPicPr>
        <xdr:cNvPr id="12" name="Picture 1">
          <a:extLst>
            <a:ext uri="{FF2B5EF4-FFF2-40B4-BE49-F238E27FC236}">
              <a16:creationId xmlns:a16="http://schemas.microsoft.com/office/drawing/2014/main" id="{00000000-0008-0000-0000-00000C000000}"/>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127000" y="148167"/>
          <a:ext cx="2820413" cy="9736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112887</xdr:colOff>
      <xdr:row>1</xdr:row>
      <xdr:rowOff>70560</xdr:rowOff>
    </xdr:from>
    <xdr:to>
      <xdr:col>17</xdr:col>
      <xdr:colOff>105832</xdr:colOff>
      <xdr:row>2</xdr:row>
      <xdr:rowOff>143574</xdr:rowOff>
    </xdr:to>
    <xdr:pic>
      <xdr:nvPicPr>
        <xdr:cNvPr id="29743" name="Picture 29742">
          <a:extLst>
            <a:ext uri="{FF2B5EF4-FFF2-40B4-BE49-F238E27FC236}">
              <a16:creationId xmlns:a16="http://schemas.microsoft.com/office/drawing/2014/main" id="{2E9927EC-F1F8-4E2C-B12B-5297039D0A81}"/>
            </a:ext>
          </a:extLst>
        </xdr:cNvPr>
        <xdr:cNvPicPr>
          <a:picLocks noChangeAspect="1"/>
        </xdr:cNvPicPr>
      </xdr:nvPicPr>
      <xdr:blipFill>
        <a:blip xmlns:r="http://schemas.openxmlformats.org/officeDocument/2006/relationships" r:embed="rId12"/>
        <a:stretch>
          <a:fillRect/>
        </a:stretch>
      </xdr:blipFill>
      <xdr:spPr>
        <a:xfrm>
          <a:off x="7902220" y="127004"/>
          <a:ext cx="2808112" cy="1160276"/>
        </a:xfrm>
        <a:prstGeom prst="rect">
          <a:avLst/>
        </a:prstGeom>
      </xdr:spPr>
    </xdr:pic>
    <xdr:clientData/>
  </xdr:twoCellAnchor>
  <xdr:twoCellAnchor editAs="oneCell">
    <xdr:from>
      <xdr:col>7</xdr:col>
      <xdr:colOff>92075</xdr:colOff>
      <xdr:row>4</xdr:row>
      <xdr:rowOff>28575</xdr:rowOff>
    </xdr:from>
    <xdr:to>
      <xdr:col>7</xdr:col>
      <xdr:colOff>533400</xdr:colOff>
      <xdr:row>6</xdr:row>
      <xdr:rowOff>103304</xdr:rowOff>
    </xdr:to>
    <xdr:pic>
      <xdr:nvPicPr>
        <xdr:cNvPr id="13" name="Picture 12">
          <a:extLst>
            <a:ext uri="{FF2B5EF4-FFF2-40B4-BE49-F238E27FC236}">
              <a16:creationId xmlns:a16="http://schemas.microsoft.com/office/drawing/2014/main" id="{9F49AD5F-776F-4C70-9D11-4084DB5B98CE}"/>
            </a:ext>
          </a:extLst>
        </xdr:cNvPr>
        <xdr:cNvPicPr>
          <a:picLocks noChangeAspect="1"/>
        </xdr:cNvPicPr>
      </xdr:nvPicPr>
      <xdr:blipFill>
        <a:blip xmlns:r="http://schemas.openxmlformats.org/officeDocument/2006/relationships" r:embed="rId13"/>
        <a:stretch>
          <a:fillRect/>
        </a:stretch>
      </xdr:blipFill>
      <xdr:spPr>
        <a:xfrm>
          <a:off x="711200" y="1054100"/>
          <a:ext cx="441325" cy="439854"/>
        </a:xfrm>
        <a:prstGeom prst="rect">
          <a:avLst/>
        </a:prstGeom>
      </xdr:spPr>
    </xdr:pic>
    <xdr:clientData/>
  </xdr:twoCellAnchor>
  <xdr:twoCellAnchor>
    <xdr:from>
      <xdr:col>7</xdr:col>
      <xdr:colOff>101600</xdr:colOff>
      <xdr:row>7</xdr:row>
      <xdr:rowOff>25400</xdr:rowOff>
    </xdr:from>
    <xdr:to>
      <xdr:col>7</xdr:col>
      <xdr:colOff>539750</xdr:colOff>
      <xdr:row>9</xdr:row>
      <xdr:rowOff>146050</xdr:rowOff>
    </xdr:to>
    <xdr:pic>
      <xdr:nvPicPr>
        <xdr:cNvPr id="14" name="Picture 92">
          <a:extLst>
            <a:ext uri="{FF2B5EF4-FFF2-40B4-BE49-F238E27FC236}">
              <a16:creationId xmlns:a16="http://schemas.microsoft.com/office/drawing/2014/main" id="{64523DA8-441A-4AF1-8037-017722FEABE5}"/>
            </a:ext>
          </a:extLst>
        </xdr:cNvPr>
        <xdr:cNvPicPr>
          <a:picLocks noChangeAspect="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104775" y="1543050"/>
          <a:ext cx="438150"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111126</xdr:colOff>
      <xdr:row>13</xdr:row>
      <xdr:rowOff>25400</xdr:rowOff>
    </xdr:from>
    <xdr:to>
      <xdr:col>7</xdr:col>
      <xdr:colOff>549276</xdr:colOff>
      <xdr:row>15</xdr:row>
      <xdr:rowOff>142526</xdr:rowOff>
    </xdr:to>
    <xdr:pic>
      <xdr:nvPicPr>
        <xdr:cNvPr id="15" name="Picture 14">
          <a:extLst>
            <a:ext uri="{FF2B5EF4-FFF2-40B4-BE49-F238E27FC236}">
              <a16:creationId xmlns:a16="http://schemas.microsoft.com/office/drawing/2014/main" id="{F1F7B2FB-426F-437C-9668-C04A65D2EAFC}"/>
            </a:ext>
          </a:extLst>
        </xdr:cNvPr>
        <xdr:cNvPicPr>
          <a:picLocks noChangeAspect="1"/>
        </xdr:cNvPicPr>
      </xdr:nvPicPr>
      <xdr:blipFill>
        <a:blip xmlns:r="http://schemas.openxmlformats.org/officeDocument/2006/relationships" r:embed="rId15"/>
        <a:stretch>
          <a:fillRect/>
        </a:stretch>
      </xdr:blipFill>
      <xdr:spPr>
        <a:xfrm>
          <a:off x="111126" y="571500"/>
          <a:ext cx="438150" cy="437801"/>
        </a:xfrm>
        <a:prstGeom prst="rect">
          <a:avLst/>
        </a:prstGeom>
      </xdr:spPr>
    </xdr:pic>
    <xdr:clientData/>
  </xdr:twoCellAnchor>
  <xdr:twoCellAnchor>
    <xdr:from>
      <xdr:col>7</xdr:col>
      <xdr:colOff>95250</xdr:colOff>
      <xdr:row>16</xdr:row>
      <xdr:rowOff>19050</xdr:rowOff>
    </xdr:from>
    <xdr:to>
      <xdr:col>7</xdr:col>
      <xdr:colOff>533400</xdr:colOff>
      <xdr:row>18</xdr:row>
      <xdr:rowOff>139700</xdr:rowOff>
    </xdr:to>
    <xdr:pic>
      <xdr:nvPicPr>
        <xdr:cNvPr id="16" name="Picture 96">
          <a:extLst>
            <a:ext uri="{FF2B5EF4-FFF2-40B4-BE49-F238E27FC236}">
              <a16:creationId xmlns:a16="http://schemas.microsoft.com/office/drawing/2014/main" id="{F0413C75-5F57-4712-8199-51E51ACE37B4}"/>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rcRect/>
        <a:stretch>
          <a:fillRect/>
        </a:stretch>
      </xdr:blipFill>
      <xdr:spPr bwMode="auto">
        <a:xfrm>
          <a:off x="95250" y="3476625"/>
          <a:ext cx="438150"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63500</xdr:colOff>
      <xdr:row>22</xdr:row>
      <xdr:rowOff>25400</xdr:rowOff>
    </xdr:from>
    <xdr:to>
      <xdr:col>7</xdr:col>
      <xdr:colOff>552450</xdr:colOff>
      <xdr:row>24</xdr:row>
      <xdr:rowOff>133350</xdr:rowOff>
    </xdr:to>
    <xdr:pic>
      <xdr:nvPicPr>
        <xdr:cNvPr id="17" name="Picture 35">
          <a:extLst>
            <a:ext uri="{FF2B5EF4-FFF2-40B4-BE49-F238E27FC236}">
              <a16:creationId xmlns:a16="http://schemas.microsoft.com/office/drawing/2014/main" id="{D237B891-564E-41B0-B68B-2320AF791C44}"/>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rcRect/>
        <a:stretch>
          <a:fillRect/>
        </a:stretch>
      </xdr:blipFill>
      <xdr:spPr bwMode="auto">
        <a:xfrm>
          <a:off x="1304925" y="85725"/>
          <a:ext cx="485775"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114300</xdr:colOff>
      <xdr:row>25</xdr:row>
      <xdr:rowOff>19050</xdr:rowOff>
    </xdr:from>
    <xdr:to>
      <xdr:col>7</xdr:col>
      <xdr:colOff>558800</xdr:colOff>
      <xdr:row>27</xdr:row>
      <xdr:rowOff>146050</xdr:rowOff>
    </xdr:to>
    <xdr:pic>
      <xdr:nvPicPr>
        <xdr:cNvPr id="18" name="Picture 39">
          <a:extLst>
            <a:ext uri="{FF2B5EF4-FFF2-40B4-BE49-F238E27FC236}">
              <a16:creationId xmlns:a16="http://schemas.microsoft.com/office/drawing/2014/main" id="{58984604-C0EB-44C5-91CF-D3B44FDF1DED}"/>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rcRect/>
        <a:stretch>
          <a:fillRect/>
        </a:stretch>
      </xdr:blipFill>
      <xdr:spPr bwMode="auto">
        <a:xfrm>
          <a:off x="733425" y="2019300"/>
          <a:ext cx="447675"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107950</xdr:colOff>
      <xdr:row>31</xdr:row>
      <xdr:rowOff>31750</xdr:rowOff>
    </xdr:from>
    <xdr:to>
      <xdr:col>7</xdr:col>
      <xdr:colOff>533400</xdr:colOff>
      <xdr:row>33</xdr:row>
      <xdr:rowOff>139700</xdr:rowOff>
    </xdr:to>
    <xdr:pic>
      <xdr:nvPicPr>
        <xdr:cNvPr id="19" name="Picture 18">
          <a:extLst>
            <a:ext uri="{FF2B5EF4-FFF2-40B4-BE49-F238E27FC236}">
              <a16:creationId xmlns:a16="http://schemas.microsoft.com/office/drawing/2014/main" id="{F671E16C-5605-4CE0-A041-340615631539}"/>
            </a:ext>
          </a:extLst>
        </xdr:cNvPr>
        <xdr:cNvPicPr>
          <a:picLocks noChangeAspect="1"/>
        </xdr:cNvPicPr>
      </xdr:nvPicPr>
      <xdr:blipFill>
        <a:blip xmlns:r="http://schemas.openxmlformats.org/officeDocument/2006/relationships" r:embed="rId19"/>
        <a:stretch>
          <a:fillRect/>
        </a:stretch>
      </xdr:blipFill>
      <xdr:spPr>
        <a:xfrm>
          <a:off x="723900" y="2514600"/>
          <a:ext cx="428625" cy="438150"/>
        </a:xfrm>
        <a:prstGeom prst="rect">
          <a:avLst/>
        </a:prstGeom>
      </xdr:spPr>
    </xdr:pic>
    <xdr:clientData/>
  </xdr:twoCellAnchor>
  <xdr:twoCellAnchor>
    <xdr:from>
      <xdr:col>7</xdr:col>
      <xdr:colOff>82550</xdr:colOff>
      <xdr:row>34</xdr:row>
      <xdr:rowOff>25400</xdr:rowOff>
    </xdr:from>
    <xdr:to>
      <xdr:col>7</xdr:col>
      <xdr:colOff>577850</xdr:colOff>
      <xdr:row>36</xdr:row>
      <xdr:rowOff>139700</xdr:rowOff>
    </xdr:to>
    <xdr:pic>
      <xdr:nvPicPr>
        <xdr:cNvPr id="20" name="Picture 89">
          <a:extLst>
            <a:ext uri="{FF2B5EF4-FFF2-40B4-BE49-F238E27FC236}">
              <a16:creationId xmlns:a16="http://schemas.microsoft.com/office/drawing/2014/main" id="{1EC8F6EC-76DD-4486-B4D6-585F99B42E7A}"/>
            </a:ext>
          </a:extLst>
        </xdr:cNvPr>
        <xdr:cNvPicPr preferRelativeResize="0">
          <a:picLocks noChangeAspect="1"/>
        </xdr:cNvPicPr>
      </xdr:nvPicPr>
      <xdr:blipFill>
        <a:blip xmlns:r="http://schemas.openxmlformats.org/officeDocument/2006/relationships" r:embed="rId20">
          <a:extLst>
            <a:ext uri="{28A0092B-C50C-407E-A947-70E740481C1C}">
              <a14:useLocalDpi xmlns:a14="http://schemas.microsoft.com/office/drawing/2010/main" val="0"/>
            </a:ext>
          </a:extLst>
        </a:blip>
        <a:srcRect/>
        <a:stretch>
          <a:fillRect/>
        </a:stretch>
      </xdr:blipFill>
      <xdr:spPr bwMode="auto">
        <a:xfrm>
          <a:off x="85725" y="85725"/>
          <a:ext cx="495300"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95250</xdr:colOff>
      <xdr:row>4</xdr:row>
      <xdr:rowOff>12700</xdr:rowOff>
    </xdr:from>
    <xdr:to>
      <xdr:col>13</xdr:col>
      <xdr:colOff>546100</xdr:colOff>
      <xdr:row>6</xdr:row>
      <xdr:rowOff>146050</xdr:rowOff>
    </xdr:to>
    <xdr:pic>
      <xdr:nvPicPr>
        <xdr:cNvPr id="21" name="Picture 98">
          <a:extLst>
            <a:ext uri="{FF2B5EF4-FFF2-40B4-BE49-F238E27FC236}">
              <a16:creationId xmlns:a16="http://schemas.microsoft.com/office/drawing/2014/main" id="{EE8D15BA-410C-46C7-9F9A-D7C5CECE7C11}"/>
            </a:ext>
          </a:extLst>
        </xdr:cNvPr>
        <xdr:cNvPicPr preferRelativeResize="0">
          <a:picLocks noChangeAspect="1"/>
        </xdr:cNvPicPr>
      </xdr:nvPicPr>
      <xdr:blipFill>
        <a:blip xmlns:r="http://schemas.openxmlformats.org/officeDocument/2006/relationships" r:embed="rId21">
          <a:extLst>
            <a:ext uri="{28A0092B-C50C-407E-A947-70E740481C1C}">
              <a14:useLocalDpi xmlns:a14="http://schemas.microsoft.com/office/drawing/2010/main" val="0"/>
            </a:ext>
          </a:extLst>
        </a:blip>
        <a:srcRect/>
        <a:stretch>
          <a:fillRect/>
        </a:stretch>
      </xdr:blipFill>
      <xdr:spPr bwMode="auto">
        <a:xfrm>
          <a:off x="714375" y="552450"/>
          <a:ext cx="447675"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82551</xdr:colOff>
      <xdr:row>7</xdr:row>
      <xdr:rowOff>19051</xdr:rowOff>
    </xdr:from>
    <xdr:to>
      <xdr:col>13</xdr:col>
      <xdr:colOff>520700</xdr:colOff>
      <xdr:row>9</xdr:row>
      <xdr:rowOff>139700</xdr:rowOff>
    </xdr:to>
    <xdr:pic>
      <xdr:nvPicPr>
        <xdr:cNvPr id="22" name="Picture 21">
          <a:extLst>
            <a:ext uri="{FF2B5EF4-FFF2-40B4-BE49-F238E27FC236}">
              <a16:creationId xmlns:a16="http://schemas.microsoft.com/office/drawing/2014/main" id="{62BF9F69-E025-4380-9948-6C310A0BE3E4}"/>
            </a:ext>
          </a:extLst>
        </xdr:cNvPr>
        <xdr:cNvPicPr>
          <a:picLocks noChangeAspect="1"/>
        </xdr:cNvPicPr>
      </xdr:nvPicPr>
      <xdr:blipFill>
        <a:blip xmlns:r="http://schemas.openxmlformats.org/officeDocument/2006/relationships" r:embed="rId22"/>
        <a:stretch>
          <a:fillRect/>
        </a:stretch>
      </xdr:blipFill>
      <xdr:spPr>
        <a:xfrm>
          <a:off x="85726" y="2990851"/>
          <a:ext cx="438149" cy="447674"/>
        </a:xfrm>
        <a:prstGeom prst="rect">
          <a:avLst/>
        </a:prstGeom>
      </xdr:spPr>
    </xdr:pic>
    <xdr:clientData/>
  </xdr:twoCellAnchor>
  <xdr:twoCellAnchor>
    <xdr:from>
      <xdr:col>13</xdr:col>
      <xdr:colOff>69850</xdr:colOff>
      <xdr:row>13</xdr:row>
      <xdr:rowOff>12700</xdr:rowOff>
    </xdr:from>
    <xdr:to>
      <xdr:col>13</xdr:col>
      <xdr:colOff>514350</xdr:colOff>
      <xdr:row>15</xdr:row>
      <xdr:rowOff>139700</xdr:rowOff>
    </xdr:to>
    <xdr:pic>
      <xdr:nvPicPr>
        <xdr:cNvPr id="23" name="Picture 22">
          <a:extLst>
            <a:ext uri="{FF2B5EF4-FFF2-40B4-BE49-F238E27FC236}">
              <a16:creationId xmlns:a16="http://schemas.microsoft.com/office/drawing/2014/main" id="{1581BA33-3E54-4A29-840B-0213A4F47376}"/>
            </a:ext>
          </a:extLst>
        </xdr:cNvPr>
        <xdr:cNvPicPr>
          <a:picLocks noChangeAspect="1"/>
        </xdr:cNvPicPr>
      </xdr:nvPicPr>
      <xdr:blipFill>
        <a:blip xmlns:r="http://schemas.openxmlformats.org/officeDocument/2006/relationships" r:embed="rId23"/>
        <a:stretch>
          <a:fillRect/>
        </a:stretch>
      </xdr:blipFill>
      <xdr:spPr>
        <a:xfrm>
          <a:off x="685800" y="3467100"/>
          <a:ext cx="447675" cy="457200"/>
        </a:xfrm>
        <a:prstGeom prst="rect">
          <a:avLst/>
        </a:prstGeom>
      </xdr:spPr>
    </xdr:pic>
    <xdr:clientData/>
  </xdr:twoCellAnchor>
  <xdr:twoCellAnchor editAs="oneCell">
    <xdr:from>
      <xdr:col>13</xdr:col>
      <xdr:colOff>82551</xdr:colOff>
      <xdr:row>16</xdr:row>
      <xdr:rowOff>15876</xdr:rowOff>
    </xdr:from>
    <xdr:to>
      <xdr:col>13</xdr:col>
      <xdr:colOff>544033</xdr:colOff>
      <xdr:row>18</xdr:row>
      <xdr:rowOff>104775</xdr:rowOff>
    </xdr:to>
    <xdr:pic>
      <xdr:nvPicPr>
        <xdr:cNvPr id="24" name="Picture 23">
          <a:extLst>
            <a:ext uri="{FF2B5EF4-FFF2-40B4-BE49-F238E27FC236}">
              <a16:creationId xmlns:a16="http://schemas.microsoft.com/office/drawing/2014/main" id="{7DCA7539-1DB6-4F5A-9F82-69BE140D92E9}"/>
            </a:ext>
          </a:extLst>
        </xdr:cNvPr>
        <xdr:cNvPicPr>
          <a:picLocks noChangeAspect="1"/>
        </xdr:cNvPicPr>
      </xdr:nvPicPr>
      <xdr:blipFill>
        <a:blip xmlns:r="http://schemas.openxmlformats.org/officeDocument/2006/relationships" r:embed="rId24"/>
        <a:stretch>
          <a:fillRect/>
        </a:stretch>
      </xdr:blipFill>
      <xdr:spPr>
        <a:xfrm>
          <a:off x="704851" y="73026"/>
          <a:ext cx="455132" cy="447674"/>
        </a:xfrm>
        <a:prstGeom prst="rect">
          <a:avLst/>
        </a:prstGeom>
      </xdr:spPr>
    </xdr:pic>
    <xdr:clientData/>
  </xdr:twoCellAnchor>
  <xdr:twoCellAnchor>
    <xdr:from>
      <xdr:col>13</xdr:col>
      <xdr:colOff>95250</xdr:colOff>
      <xdr:row>22</xdr:row>
      <xdr:rowOff>19050</xdr:rowOff>
    </xdr:from>
    <xdr:to>
      <xdr:col>13</xdr:col>
      <xdr:colOff>546100</xdr:colOff>
      <xdr:row>24</xdr:row>
      <xdr:rowOff>152400</xdr:rowOff>
    </xdr:to>
    <xdr:pic>
      <xdr:nvPicPr>
        <xdr:cNvPr id="25" name="Picture 24">
          <a:extLst>
            <a:ext uri="{FF2B5EF4-FFF2-40B4-BE49-F238E27FC236}">
              <a16:creationId xmlns:a16="http://schemas.microsoft.com/office/drawing/2014/main" id="{5FA12B9E-0077-425F-8698-28C984D16D7D}"/>
            </a:ext>
          </a:extLst>
        </xdr:cNvPr>
        <xdr:cNvPicPr>
          <a:picLocks noChangeAspect="1"/>
        </xdr:cNvPicPr>
      </xdr:nvPicPr>
      <xdr:blipFill>
        <a:blip xmlns:r="http://schemas.openxmlformats.org/officeDocument/2006/relationships" r:embed="rId25"/>
        <a:stretch>
          <a:fillRect/>
        </a:stretch>
      </xdr:blipFill>
      <xdr:spPr>
        <a:xfrm>
          <a:off x="95250" y="2505075"/>
          <a:ext cx="447675" cy="457200"/>
        </a:xfrm>
        <a:prstGeom prst="rect">
          <a:avLst/>
        </a:prstGeom>
      </xdr:spPr>
    </xdr:pic>
    <xdr:clientData/>
  </xdr:twoCellAnchor>
  <xdr:twoCellAnchor>
    <xdr:from>
      <xdr:col>13</xdr:col>
      <xdr:colOff>95250</xdr:colOff>
      <xdr:row>25</xdr:row>
      <xdr:rowOff>19050</xdr:rowOff>
    </xdr:from>
    <xdr:to>
      <xdr:col>13</xdr:col>
      <xdr:colOff>539750</xdr:colOff>
      <xdr:row>27</xdr:row>
      <xdr:rowOff>146050</xdr:rowOff>
    </xdr:to>
    <xdr:pic>
      <xdr:nvPicPr>
        <xdr:cNvPr id="26" name="Picture 100">
          <a:extLst>
            <a:ext uri="{FF2B5EF4-FFF2-40B4-BE49-F238E27FC236}">
              <a16:creationId xmlns:a16="http://schemas.microsoft.com/office/drawing/2014/main" id="{6CDD0EFB-8DEA-4293-A835-AE64A4E41B42}"/>
            </a:ext>
          </a:extLst>
        </xdr:cNvPr>
        <xdr:cNvPicPr>
          <a:picLocks noChangeAspect="1"/>
        </xdr:cNvPicPr>
      </xdr:nvPicPr>
      <xdr:blipFill>
        <a:blip xmlns:r="http://schemas.openxmlformats.org/officeDocument/2006/relationships" r:embed="rId26">
          <a:extLst>
            <a:ext uri="{28A0092B-C50C-407E-A947-70E740481C1C}">
              <a14:useLocalDpi xmlns:a14="http://schemas.microsoft.com/office/drawing/2010/main" val="0"/>
            </a:ext>
          </a:extLst>
        </a:blip>
        <a:srcRect/>
        <a:stretch>
          <a:fillRect/>
        </a:stretch>
      </xdr:blipFill>
      <xdr:spPr bwMode="auto">
        <a:xfrm>
          <a:off x="714375" y="1533525"/>
          <a:ext cx="447675"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88900</xdr:colOff>
      <xdr:row>31</xdr:row>
      <xdr:rowOff>25400</xdr:rowOff>
    </xdr:from>
    <xdr:to>
      <xdr:col>13</xdr:col>
      <xdr:colOff>520700</xdr:colOff>
      <xdr:row>33</xdr:row>
      <xdr:rowOff>139700</xdr:rowOff>
    </xdr:to>
    <xdr:pic>
      <xdr:nvPicPr>
        <xdr:cNvPr id="27" name="Picture 26">
          <a:extLst>
            <a:ext uri="{FF2B5EF4-FFF2-40B4-BE49-F238E27FC236}">
              <a16:creationId xmlns:a16="http://schemas.microsoft.com/office/drawing/2014/main" id="{2390FEF2-66ED-4E97-9DB9-06702C1916AF}"/>
            </a:ext>
          </a:extLst>
        </xdr:cNvPr>
        <xdr:cNvPicPr>
          <a:picLocks noChangeAspect="1"/>
        </xdr:cNvPicPr>
      </xdr:nvPicPr>
      <xdr:blipFill>
        <a:blip xmlns:r="http://schemas.openxmlformats.org/officeDocument/2006/relationships" r:embed="rId27"/>
        <a:stretch>
          <a:fillRect/>
        </a:stretch>
      </xdr:blipFill>
      <xdr:spPr>
        <a:xfrm>
          <a:off x="704850" y="3000375"/>
          <a:ext cx="438150" cy="438150"/>
        </a:xfrm>
        <a:prstGeom prst="rect">
          <a:avLst/>
        </a:prstGeom>
      </xdr:spPr>
    </xdr:pic>
    <xdr:clientData/>
  </xdr:twoCellAnchor>
  <xdr:twoCellAnchor>
    <xdr:from>
      <xdr:col>13</xdr:col>
      <xdr:colOff>95250</xdr:colOff>
      <xdr:row>34</xdr:row>
      <xdr:rowOff>19050</xdr:rowOff>
    </xdr:from>
    <xdr:to>
      <xdr:col>13</xdr:col>
      <xdr:colOff>546100</xdr:colOff>
      <xdr:row>36</xdr:row>
      <xdr:rowOff>152400</xdr:rowOff>
    </xdr:to>
    <xdr:pic>
      <xdr:nvPicPr>
        <xdr:cNvPr id="28" name="Picture 93">
          <a:extLst>
            <a:ext uri="{FF2B5EF4-FFF2-40B4-BE49-F238E27FC236}">
              <a16:creationId xmlns:a16="http://schemas.microsoft.com/office/drawing/2014/main" id="{50C808D1-DD83-42AA-AD77-64C4E16194C8}"/>
            </a:ext>
          </a:extLst>
        </xdr:cNvPr>
        <xdr:cNvPicPr>
          <a:picLocks noChangeAspect="1"/>
        </xdr:cNvPicPr>
      </xdr:nvPicPr>
      <xdr:blipFill>
        <a:blip xmlns:r="http://schemas.openxmlformats.org/officeDocument/2006/relationships" r:embed="rId28">
          <a:extLst>
            <a:ext uri="{28A0092B-C50C-407E-A947-70E740481C1C}">
              <a14:useLocalDpi xmlns:a14="http://schemas.microsoft.com/office/drawing/2010/main" val="0"/>
            </a:ext>
          </a:extLst>
        </a:blip>
        <a:srcRect/>
        <a:stretch>
          <a:fillRect/>
        </a:stretch>
      </xdr:blipFill>
      <xdr:spPr bwMode="auto">
        <a:xfrm>
          <a:off x="95250" y="2019300"/>
          <a:ext cx="447675"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101601</xdr:colOff>
      <xdr:row>0</xdr:row>
      <xdr:rowOff>126999</xdr:rowOff>
    </xdr:from>
    <xdr:to>
      <xdr:col>4</xdr:col>
      <xdr:colOff>695325</xdr:colOff>
      <xdr:row>0</xdr:row>
      <xdr:rowOff>988255</xdr:rowOff>
    </xdr:to>
    <xdr:pic>
      <xdr:nvPicPr>
        <xdr:cNvPr id="2" name="Picture 1">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1601" y="126999"/>
          <a:ext cx="2514599" cy="86125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323850</xdr:colOff>
      <xdr:row>0</xdr:row>
      <xdr:rowOff>63501</xdr:rowOff>
    </xdr:from>
    <xdr:to>
      <xdr:col>14</xdr:col>
      <xdr:colOff>196850</xdr:colOff>
      <xdr:row>1</xdr:row>
      <xdr:rowOff>88706</xdr:rowOff>
    </xdr:to>
    <xdr:pic>
      <xdr:nvPicPr>
        <xdr:cNvPr id="4" name="Picture 3">
          <a:extLst>
            <a:ext uri="{FF2B5EF4-FFF2-40B4-BE49-F238E27FC236}">
              <a16:creationId xmlns:a16="http://schemas.microsoft.com/office/drawing/2014/main" id="{B81BDA76-3B24-44AF-9BB8-4C529F695B4D}"/>
            </a:ext>
          </a:extLst>
        </xdr:cNvPr>
        <xdr:cNvPicPr>
          <a:picLocks noChangeAspect="1"/>
        </xdr:cNvPicPr>
      </xdr:nvPicPr>
      <xdr:blipFill>
        <a:blip xmlns:r="http://schemas.openxmlformats.org/officeDocument/2006/relationships" r:embed="rId2"/>
        <a:stretch>
          <a:fillRect/>
        </a:stretch>
      </xdr:blipFill>
      <xdr:spPr>
        <a:xfrm>
          <a:off x="5308600" y="63501"/>
          <a:ext cx="2489200" cy="102850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9525</xdr:colOff>
      <xdr:row>0</xdr:row>
      <xdr:rowOff>161925</xdr:rowOff>
    </xdr:from>
    <xdr:to>
      <xdr:col>3</xdr:col>
      <xdr:colOff>521713</xdr:colOff>
      <xdr:row>0</xdr:row>
      <xdr:rowOff>1135591</xdr:rowOff>
    </xdr:to>
    <xdr:pic>
      <xdr:nvPicPr>
        <xdr:cNvPr id="3" name="Picture 1">
          <a:extLst>
            <a:ext uri="{FF2B5EF4-FFF2-40B4-BE49-F238E27FC236}">
              <a16:creationId xmlns:a16="http://schemas.microsoft.com/office/drawing/2014/main" id="{778B561F-C6AA-446B-B1F6-AE11FB8F4B4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161925"/>
          <a:ext cx="2810888" cy="97049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339725</xdr:colOff>
      <xdr:row>0</xdr:row>
      <xdr:rowOff>101600</xdr:rowOff>
    </xdr:from>
    <xdr:to>
      <xdr:col>10</xdr:col>
      <xdr:colOff>779287</xdr:colOff>
      <xdr:row>0</xdr:row>
      <xdr:rowOff>1284805</xdr:rowOff>
    </xdr:to>
    <xdr:pic>
      <xdr:nvPicPr>
        <xdr:cNvPr id="6" name="Picture 5">
          <a:extLst>
            <a:ext uri="{FF2B5EF4-FFF2-40B4-BE49-F238E27FC236}">
              <a16:creationId xmlns:a16="http://schemas.microsoft.com/office/drawing/2014/main" id="{5FF1BE4D-0606-4E1B-A3B9-852A6A504D8B}"/>
            </a:ext>
          </a:extLst>
        </xdr:cNvPr>
        <xdr:cNvPicPr>
          <a:picLocks noChangeAspect="1"/>
        </xdr:cNvPicPr>
      </xdr:nvPicPr>
      <xdr:blipFill>
        <a:blip xmlns:r="http://schemas.openxmlformats.org/officeDocument/2006/relationships" r:embed="rId2"/>
        <a:stretch>
          <a:fillRect/>
        </a:stretch>
      </xdr:blipFill>
      <xdr:spPr>
        <a:xfrm>
          <a:off x="5883275" y="101600"/>
          <a:ext cx="2811287" cy="118638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82550</xdr:colOff>
      <xdr:row>1</xdr:row>
      <xdr:rowOff>25400</xdr:rowOff>
    </xdr:from>
    <xdr:to>
      <xdr:col>0</xdr:col>
      <xdr:colOff>577850</xdr:colOff>
      <xdr:row>3</xdr:row>
      <xdr:rowOff>139700</xdr:rowOff>
    </xdr:to>
    <xdr:pic>
      <xdr:nvPicPr>
        <xdr:cNvPr id="18" name="Picture 89">
          <a:extLst>
            <a:ext uri="{FF2B5EF4-FFF2-40B4-BE49-F238E27FC236}">
              <a16:creationId xmlns:a16="http://schemas.microsoft.com/office/drawing/2014/main" id="{00000000-0008-0000-0400-000012000000}"/>
            </a:ext>
          </a:extLst>
        </xdr:cNvPr>
        <xdr:cNvPicPr preferRelativeResize="0">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2550" y="184150"/>
          <a:ext cx="495300"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107950</xdr:colOff>
      <xdr:row>7</xdr:row>
      <xdr:rowOff>25400</xdr:rowOff>
    </xdr:from>
    <xdr:to>
      <xdr:col>0</xdr:col>
      <xdr:colOff>539750</xdr:colOff>
      <xdr:row>9</xdr:row>
      <xdr:rowOff>139700</xdr:rowOff>
    </xdr:to>
    <xdr:pic>
      <xdr:nvPicPr>
        <xdr:cNvPr id="20" name="Picture 91">
          <a:extLst>
            <a:ext uri="{FF2B5EF4-FFF2-40B4-BE49-F238E27FC236}">
              <a16:creationId xmlns:a16="http://schemas.microsoft.com/office/drawing/2014/main" id="{00000000-0008-0000-0400-00001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7950" y="1200150"/>
          <a:ext cx="431800" cy="431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101600</xdr:colOff>
      <xdr:row>10</xdr:row>
      <xdr:rowOff>25400</xdr:rowOff>
    </xdr:from>
    <xdr:to>
      <xdr:col>0</xdr:col>
      <xdr:colOff>539750</xdr:colOff>
      <xdr:row>12</xdr:row>
      <xdr:rowOff>146050</xdr:rowOff>
    </xdr:to>
    <xdr:pic>
      <xdr:nvPicPr>
        <xdr:cNvPr id="21" name="Picture 92">
          <a:extLst>
            <a:ext uri="{FF2B5EF4-FFF2-40B4-BE49-F238E27FC236}">
              <a16:creationId xmlns:a16="http://schemas.microsoft.com/office/drawing/2014/main" id="{00000000-0008-0000-0400-000015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1600" y="1676400"/>
          <a:ext cx="438150"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95250</xdr:colOff>
      <xdr:row>13</xdr:row>
      <xdr:rowOff>19050</xdr:rowOff>
    </xdr:from>
    <xdr:to>
      <xdr:col>0</xdr:col>
      <xdr:colOff>546100</xdr:colOff>
      <xdr:row>15</xdr:row>
      <xdr:rowOff>152400</xdr:rowOff>
    </xdr:to>
    <xdr:pic>
      <xdr:nvPicPr>
        <xdr:cNvPr id="22" name="Picture 93">
          <a:extLst>
            <a:ext uri="{FF2B5EF4-FFF2-40B4-BE49-F238E27FC236}">
              <a16:creationId xmlns:a16="http://schemas.microsoft.com/office/drawing/2014/main" id="{00000000-0008-0000-0400-000016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95250" y="2146300"/>
          <a:ext cx="450850" cy="450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95250</xdr:colOff>
      <xdr:row>22</xdr:row>
      <xdr:rowOff>19050</xdr:rowOff>
    </xdr:from>
    <xdr:to>
      <xdr:col>0</xdr:col>
      <xdr:colOff>533400</xdr:colOff>
      <xdr:row>24</xdr:row>
      <xdr:rowOff>139700</xdr:rowOff>
    </xdr:to>
    <xdr:pic>
      <xdr:nvPicPr>
        <xdr:cNvPr id="25" name="Picture 96">
          <a:extLst>
            <a:ext uri="{FF2B5EF4-FFF2-40B4-BE49-F238E27FC236}">
              <a16:creationId xmlns:a16="http://schemas.microsoft.com/office/drawing/2014/main" id="{00000000-0008-0000-0400-000019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95250" y="3575050"/>
          <a:ext cx="438150"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95250</xdr:colOff>
      <xdr:row>4</xdr:row>
      <xdr:rowOff>12700</xdr:rowOff>
    </xdr:from>
    <xdr:to>
      <xdr:col>1</xdr:col>
      <xdr:colOff>546100</xdr:colOff>
      <xdr:row>6</xdr:row>
      <xdr:rowOff>146050</xdr:rowOff>
    </xdr:to>
    <xdr:pic>
      <xdr:nvPicPr>
        <xdr:cNvPr id="27" name="Picture 98">
          <a:extLst>
            <a:ext uri="{FF2B5EF4-FFF2-40B4-BE49-F238E27FC236}">
              <a16:creationId xmlns:a16="http://schemas.microsoft.com/office/drawing/2014/main" id="{00000000-0008-0000-0400-00001B000000}"/>
            </a:ext>
          </a:extLst>
        </xdr:cNvPr>
        <xdr:cNvPicPr preferRelativeResize="0">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717550" y="711200"/>
          <a:ext cx="450850" cy="450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95250</xdr:colOff>
      <xdr:row>10</xdr:row>
      <xdr:rowOff>19050</xdr:rowOff>
    </xdr:from>
    <xdr:to>
      <xdr:col>1</xdr:col>
      <xdr:colOff>539750</xdr:colOff>
      <xdr:row>12</xdr:row>
      <xdr:rowOff>146050</xdr:rowOff>
    </xdr:to>
    <xdr:pic>
      <xdr:nvPicPr>
        <xdr:cNvPr id="29" name="Picture 100">
          <a:extLst>
            <a:ext uri="{FF2B5EF4-FFF2-40B4-BE49-F238E27FC236}">
              <a16:creationId xmlns:a16="http://schemas.microsoft.com/office/drawing/2014/main" id="{00000000-0008-0000-0400-00001D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717550" y="1670050"/>
          <a:ext cx="444500" cy="444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114300</xdr:colOff>
      <xdr:row>13</xdr:row>
      <xdr:rowOff>19050</xdr:rowOff>
    </xdr:from>
    <xdr:to>
      <xdr:col>1</xdr:col>
      <xdr:colOff>558800</xdr:colOff>
      <xdr:row>15</xdr:row>
      <xdr:rowOff>146050</xdr:rowOff>
    </xdr:to>
    <xdr:pic>
      <xdr:nvPicPr>
        <xdr:cNvPr id="33" name="Picture 39">
          <a:extLst>
            <a:ext uri="{FF2B5EF4-FFF2-40B4-BE49-F238E27FC236}">
              <a16:creationId xmlns:a16="http://schemas.microsoft.com/office/drawing/2014/main" id="{00000000-0008-0000-0400-000021000000}"/>
            </a:ext>
          </a:extLst>
        </xdr:cNvPr>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736600" y="2146300"/>
          <a:ext cx="444500" cy="444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95250</xdr:colOff>
      <xdr:row>16</xdr:row>
      <xdr:rowOff>19050</xdr:rowOff>
    </xdr:from>
    <xdr:to>
      <xdr:col>0</xdr:col>
      <xdr:colOff>546100</xdr:colOff>
      <xdr:row>18</xdr:row>
      <xdr:rowOff>152400</xdr:rowOff>
    </xdr:to>
    <xdr:pic>
      <xdr:nvPicPr>
        <xdr:cNvPr id="24" name="Picture 23">
          <a:extLst>
            <a:ext uri="{FF2B5EF4-FFF2-40B4-BE49-F238E27FC236}">
              <a16:creationId xmlns:a16="http://schemas.microsoft.com/office/drawing/2014/main" id="{00000000-0008-0000-0400-000018000000}"/>
            </a:ext>
          </a:extLst>
        </xdr:cNvPr>
        <xdr:cNvPicPr>
          <a:picLocks noChangeAspect="1"/>
        </xdr:cNvPicPr>
      </xdr:nvPicPr>
      <xdr:blipFill>
        <a:blip xmlns:r="http://schemas.openxmlformats.org/officeDocument/2006/relationships" r:embed="rId9"/>
        <a:stretch>
          <a:fillRect/>
        </a:stretch>
      </xdr:blipFill>
      <xdr:spPr>
        <a:xfrm>
          <a:off x="95250" y="2559050"/>
          <a:ext cx="450850" cy="450850"/>
        </a:xfrm>
        <a:prstGeom prst="rect">
          <a:avLst/>
        </a:prstGeom>
      </xdr:spPr>
    </xdr:pic>
    <xdr:clientData/>
  </xdr:twoCellAnchor>
  <xdr:twoCellAnchor>
    <xdr:from>
      <xdr:col>1</xdr:col>
      <xdr:colOff>107950</xdr:colOff>
      <xdr:row>16</xdr:row>
      <xdr:rowOff>31750</xdr:rowOff>
    </xdr:from>
    <xdr:to>
      <xdr:col>1</xdr:col>
      <xdr:colOff>533400</xdr:colOff>
      <xdr:row>18</xdr:row>
      <xdr:rowOff>139700</xdr:rowOff>
    </xdr:to>
    <xdr:pic>
      <xdr:nvPicPr>
        <xdr:cNvPr id="31" name="Picture 30">
          <a:extLst>
            <a:ext uri="{FF2B5EF4-FFF2-40B4-BE49-F238E27FC236}">
              <a16:creationId xmlns:a16="http://schemas.microsoft.com/office/drawing/2014/main" id="{00000000-0008-0000-0400-00001F000000}"/>
            </a:ext>
          </a:extLst>
        </xdr:cNvPr>
        <xdr:cNvPicPr>
          <a:picLocks noChangeAspect="1"/>
        </xdr:cNvPicPr>
      </xdr:nvPicPr>
      <xdr:blipFill>
        <a:blip xmlns:r="http://schemas.openxmlformats.org/officeDocument/2006/relationships" r:embed="rId10"/>
        <a:stretch>
          <a:fillRect/>
        </a:stretch>
      </xdr:blipFill>
      <xdr:spPr>
        <a:xfrm>
          <a:off x="730250" y="2571750"/>
          <a:ext cx="425450" cy="425450"/>
        </a:xfrm>
        <a:prstGeom prst="rect">
          <a:avLst/>
        </a:prstGeom>
      </xdr:spPr>
    </xdr:pic>
    <xdr:clientData/>
  </xdr:twoCellAnchor>
  <xdr:twoCellAnchor>
    <xdr:from>
      <xdr:col>0</xdr:col>
      <xdr:colOff>82551</xdr:colOff>
      <xdr:row>19</xdr:row>
      <xdr:rowOff>19051</xdr:rowOff>
    </xdr:from>
    <xdr:to>
      <xdr:col>0</xdr:col>
      <xdr:colOff>520700</xdr:colOff>
      <xdr:row>21</xdr:row>
      <xdr:rowOff>139700</xdr:rowOff>
    </xdr:to>
    <xdr:pic>
      <xdr:nvPicPr>
        <xdr:cNvPr id="32" name="Picture 31">
          <a:extLst>
            <a:ext uri="{FF2B5EF4-FFF2-40B4-BE49-F238E27FC236}">
              <a16:creationId xmlns:a16="http://schemas.microsoft.com/office/drawing/2014/main" id="{00000000-0008-0000-0400-000020000000}"/>
            </a:ext>
          </a:extLst>
        </xdr:cNvPr>
        <xdr:cNvPicPr>
          <a:picLocks noChangeAspect="1"/>
        </xdr:cNvPicPr>
      </xdr:nvPicPr>
      <xdr:blipFill>
        <a:blip xmlns:r="http://schemas.openxmlformats.org/officeDocument/2006/relationships" r:embed="rId11"/>
        <a:stretch>
          <a:fillRect/>
        </a:stretch>
      </xdr:blipFill>
      <xdr:spPr>
        <a:xfrm>
          <a:off x="82551" y="2933701"/>
          <a:ext cx="438149" cy="438149"/>
        </a:xfrm>
        <a:prstGeom prst="rect">
          <a:avLst/>
        </a:prstGeom>
      </xdr:spPr>
    </xdr:pic>
    <xdr:clientData/>
  </xdr:twoCellAnchor>
  <xdr:twoCellAnchor>
    <xdr:from>
      <xdr:col>1</xdr:col>
      <xdr:colOff>88900</xdr:colOff>
      <xdr:row>19</xdr:row>
      <xdr:rowOff>25400</xdr:rowOff>
    </xdr:from>
    <xdr:to>
      <xdr:col>1</xdr:col>
      <xdr:colOff>520700</xdr:colOff>
      <xdr:row>21</xdr:row>
      <xdr:rowOff>139700</xdr:rowOff>
    </xdr:to>
    <xdr:pic>
      <xdr:nvPicPr>
        <xdr:cNvPr id="34" name="Picture 33">
          <a:extLst>
            <a:ext uri="{FF2B5EF4-FFF2-40B4-BE49-F238E27FC236}">
              <a16:creationId xmlns:a16="http://schemas.microsoft.com/office/drawing/2014/main" id="{00000000-0008-0000-0400-000022000000}"/>
            </a:ext>
          </a:extLst>
        </xdr:cNvPr>
        <xdr:cNvPicPr>
          <a:picLocks noChangeAspect="1"/>
        </xdr:cNvPicPr>
      </xdr:nvPicPr>
      <xdr:blipFill>
        <a:blip xmlns:r="http://schemas.openxmlformats.org/officeDocument/2006/relationships" r:embed="rId12"/>
        <a:stretch>
          <a:fillRect/>
        </a:stretch>
      </xdr:blipFill>
      <xdr:spPr>
        <a:xfrm>
          <a:off x="3886200" y="3041650"/>
          <a:ext cx="431800" cy="431800"/>
        </a:xfrm>
        <a:prstGeom prst="rect">
          <a:avLst/>
        </a:prstGeom>
      </xdr:spPr>
    </xdr:pic>
    <xdr:clientData/>
  </xdr:twoCellAnchor>
  <xdr:twoCellAnchor>
    <xdr:from>
      <xdr:col>1</xdr:col>
      <xdr:colOff>69850</xdr:colOff>
      <xdr:row>22</xdr:row>
      <xdr:rowOff>12700</xdr:rowOff>
    </xdr:from>
    <xdr:to>
      <xdr:col>1</xdr:col>
      <xdr:colOff>514350</xdr:colOff>
      <xdr:row>24</xdr:row>
      <xdr:rowOff>139700</xdr:rowOff>
    </xdr:to>
    <xdr:pic>
      <xdr:nvPicPr>
        <xdr:cNvPr id="35" name="Picture 34">
          <a:extLst>
            <a:ext uri="{FF2B5EF4-FFF2-40B4-BE49-F238E27FC236}">
              <a16:creationId xmlns:a16="http://schemas.microsoft.com/office/drawing/2014/main" id="{00000000-0008-0000-0400-000023000000}"/>
            </a:ext>
          </a:extLst>
        </xdr:cNvPr>
        <xdr:cNvPicPr>
          <a:picLocks noChangeAspect="1"/>
        </xdr:cNvPicPr>
      </xdr:nvPicPr>
      <xdr:blipFill>
        <a:blip xmlns:r="http://schemas.openxmlformats.org/officeDocument/2006/relationships" r:embed="rId13"/>
        <a:stretch>
          <a:fillRect/>
        </a:stretch>
      </xdr:blipFill>
      <xdr:spPr>
        <a:xfrm>
          <a:off x="3867150" y="3505200"/>
          <a:ext cx="444500" cy="444500"/>
        </a:xfrm>
        <a:prstGeom prst="rect">
          <a:avLst/>
        </a:prstGeom>
      </xdr:spPr>
    </xdr:pic>
    <xdr:clientData/>
  </xdr:twoCellAnchor>
  <xdr:twoCellAnchor>
    <xdr:from>
      <xdr:col>2</xdr:col>
      <xdr:colOff>63500</xdr:colOff>
      <xdr:row>1</xdr:row>
      <xdr:rowOff>25400</xdr:rowOff>
    </xdr:from>
    <xdr:to>
      <xdr:col>2</xdr:col>
      <xdr:colOff>552450</xdr:colOff>
      <xdr:row>3</xdr:row>
      <xdr:rowOff>133350</xdr:rowOff>
    </xdr:to>
    <xdr:pic>
      <xdr:nvPicPr>
        <xdr:cNvPr id="23" name="Picture 35">
          <a:extLst>
            <a:ext uri="{FF2B5EF4-FFF2-40B4-BE49-F238E27FC236}">
              <a16:creationId xmlns:a16="http://schemas.microsoft.com/office/drawing/2014/main" id="{00000000-0008-0000-0400-000017000000}"/>
            </a:ext>
          </a:extLst>
        </xdr:cNvPr>
        <xdr:cNvPicPr>
          <a:picLocks noChangeAspect="1"/>
        </xdr:cNvPicPr>
      </xdr:nvPicPr>
      <xdr:blipFill>
        <a:blip xmlns:r="http://schemas.openxmlformats.org/officeDocument/2006/relationships" r:embed="rId14" cstate="print">
          <a:extLst>
            <a:ext uri="{28A0092B-C50C-407E-A947-70E740481C1C}">
              <a14:useLocalDpi xmlns:a14="http://schemas.microsoft.com/office/drawing/2010/main" val="0"/>
            </a:ext>
          </a:extLst>
        </a:blip>
        <a:srcRect/>
        <a:stretch>
          <a:fillRect/>
        </a:stretch>
      </xdr:blipFill>
      <xdr:spPr bwMode="auto">
        <a:xfrm>
          <a:off x="1308100" y="184150"/>
          <a:ext cx="488950" cy="488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92075</xdr:colOff>
      <xdr:row>7</xdr:row>
      <xdr:rowOff>28575</xdr:rowOff>
    </xdr:from>
    <xdr:to>
      <xdr:col>1</xdr:col>
      <xdr:colOff>533400</xdr:colOff>
      <xdr:row>9</xdr:row>
      <xdr:rowOff>144579</xdr:rowOff>
    </xdr:to>
    <xdr:pic>
      <xdr:nvPicPr>
        <xdr:cNvPr id="2" name="Picture 1">
          <a:extLst>
            <a:ext uri="{FF2B5EF4-FFF2-40B4-BE49-F238E27FC236}">
              <a16:creationId xmlns:a16="http://schemas.microsoft.com/office/drawing/2014/main" id="{70908E75-2358-4695-8143-1F7D27C20A0D}"/>
            </a:ext>
          </a:extLst>
        </xdr:cNvPr>
        <xdr:cNvPicPr>
          <a:picLocks noChangeAspect="1"/>
        </xdr:cNvPicPr>
      </xdr:nvPicPr>
      <xdr:blipFill>
        <a:blip xmlns:r="http://schemas.openxmlformats.org/officeDocument/2006/relationships" r:embed="rId15"/>
        <a:stretch>
          <a:fillRect/>
        </a:stretch>
      </xdr:blipFill>
      <xdr:spPr>
        <a:xfrm>
          <a:off x="711200" y="1057275"/>
          <a:ext cx="441325" cy="439854"/>
        </a:xfrm>
        <a:prstGeom prst="rect">
          <a:avLst/>
        </a:prstGeom>
      </xdr:spPr>
    </xdr:pic>
    <xdr:clientData/>
  </xdr:twoCellAnchor>
  <xdr:twoCellAnchor editAs="oneCell">
    <xdr:from>
      <xdr:col>0</xdr:col>
      <xdr:colOff>111126</xdr:colOff>
      <xdr:row>4</xdr:row>
      <xdr:rowOff>25400</xdr:rowOff>
    </xdr:from>
    <xdr:to>
      <xdr:col>0</xdr:col>
      <xdr:colOff>549276</xdr:colOff>
      <xdr:row>6</xdr:row>
      <xdr:rowOff>145701</xdr:rowOff>
    </xdr:to>
    <xdr:pic>
      <xdr:nvPicPr>
        <xdr:cNvPr id="3" name="Picture 2">
          <a:extLst>
            <a:ext uri="{FF2B5EF4-FFF2-40B4-BE49-F238E27FC236}">
              <a16:creationId xmlns:a16="http://schemas.microsoft.com/office/drawing/2014/main" id="{7AC5A627-3E73-46DC-A57B-D921482AEEC6}"/>
            </a:ext>
          </a:extLst>
        </xdr:cNvPr>
        <xdr:cNvPicPr>
          <a:picLocks noChangeAspect="1"/>
        </xdr:cNvPicPr>
      </xdr:nvPicPr>
      <xdr:blipFill>
        <a:blip xmlns:r="http://schemas.openxmlformats.org/officeDocument/2006/relationships" r:embed="rId16"/>
        <a:stretch>
          <a:fillRect/>
        </a:stretch>
      </xdr:blipFill>
      <xdr:spPr>
        <a:xfrm>
          <a:off x="111126" y="568325"/>
          <a:ext cx="438150" cy="444151"/>
        </a:xfrm>
        <a:prstGeom prst="rect">
          <a:avLst/>
        </a:prstGeom>
      </xdr:spPr>
    </xdr:pic>
    <xdr:clientData/>
  </xdr:twoCellAnchor>
  <xdr:twoCellAnchor editAs="oneCell">
    <xdr:from>
      <xdr:col>1</xdr:col>
      <xdr:colOff>82551</xdr:colOff>
      <xdr:row>1</xdr:row>
      <xdr:rowOff>15876</xdr:rowOff>
    </xdr:from>
    <xdr:to>
      <xdr:col>1</xdr:col>
      <xdr:colOff>544033</xdr:colOff>
      <xdr:row>3</xdr:row>
      <xdr:rowOff>142875</xdr:rowOff>
    </xdr:to>
    <xdr:pic>
      <xdr:nvPicPr>
        <xdr:cNvPr id="4" name="Picture 3">
          <a:extLst>
            <a:ext uri="{FF2B5EF4-FFF2-40B4-BE49-F238E27FC236}">
              <a16:creationId xmlns:a16="http://schemas.microsoft.com/office/drawing/2014/main" id="{54145A03-4451-4090-8994-CC26913DBDAC}"/>
            </a:ext>
          </a:extLst>
        </xdr:cNvPr>
        <xdr:cNvPicPr>
          <a:picLocks noChangeAspect="1"/>
        </xdr:cNvPicPr>
      </xdr:nvPicPr>
      <xdr:blipFill>
        <a:blip xmlns:r="http://schemas.openxmlformats.org/officeDocument/2006/relationships" r:embed="rId17"/>
        <a:stretch>
          <a:fillRect/>
        </a:stretch>
      </xdr:blipFill>
      <xdr:spPr>
        <a:xfrm>
          <a:off x="701676" y="73026"/>
          <a:ext cx="461482" cy="45084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Documents%20and%20Settings/loomesp/Local%20Settings/Temp/Book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Rob/AppData/Local/Temp/Temp1_FT2020v3.zip/FT2016/Tipshee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he Ladder - new"/>
    </sheetNames>
    <sheetDataSet>
      <sheetData sheetId="0">
        <row r="18">
          <cell r="AC18" t="e">
            <v>#REF!</v>
          </cell>
        </row>
        <row r="19">
          <cell r="AC19" t="e">
            <v>#REF!</v>
          </cell>
        </row>
        <row r="20">
          <cell r="AC20" t="e">
            <v>#REF!</v>
          </cell>
        </row>
        <row r="21">
          <cell r="AC21" t="e">
            <v>#REF!</v>
          </cell>
        </row>
        <row r="22">
          <cell r="AC22" t="e">
            <v>#REF!</v>
          </cell>
        </row>
        <row r="23">
          <cell r="AC23" t="e">
            <v>#REF!</v>
          </cell>
        </row>
        <row r="24">
          <cell r="AC24" t="e">
            <v>#REF!</v>
          </cell>
        </row>
        <row r="25">
          <cell r="AC25" t="e">
            <v>#REF!</v>
          </cell>
        </row>
        <row r="26">
          <cell r="AC26" t="e">
            <v>#REF!</v>
          </cell>
        </row>
        <row r="27">
          <cell r="AC27" t="e">
            <v>#REF!</v>
          </cell>
        </row>
        <row r="28">
          <cell r="AC28" t="e">
            <v>#REF!</v>
          </cell>
        </row>
        <row r="29">
          <cell r="AC29" t="e">
            <v>#REF!</v>
          </cell>
        </row>
        <row r="30">
          <cell r="AC30" t="e">
            <v>#REF!</v>
          </cell>
        </row>
        <row r="31">
          <cell r="AC31" t="e">
            <v>#REF!</v>
          </cell>
        </row>
        <row r="32">
          <cell r="AC32" t="e">
            <v>#REF!</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ipsheet"/>
      <sheetName val="Draw and Results"/>
      <sheetName val="Bragging Rights"/>
      <sheetName val="Data"/>
      <sheetName val="My Stats"/>
      <sheetName val="The Ladder"/>
      <sheetName val="Logos"/>
    </sheetNames>
    <sheetDataSet>
      <sheetData sheetId="0" refreshError="1"/>
      <sheetData sheetId="1">
        <row r="32">
          <cell r="A32">
            <v>1</v>
          </cell>
        </row>
        <row r="33">
          <cell r="A33">
            <v>2</v>
          </cell>
        </row>
        <row r="34">
          <cell r="A34">
            <v>3</v>
          </cell>
        </row>
        <row r="35">
          <cell r="A35">
            <v>4</v>
          </cell>
        </row>
        <row r="36">
          <cell r="A36">
            <v>5</v>
          </cell>
        </row>
        <row r="37">
          <cell r="A37">
            <v>6</v>
          </cell>
        </row>
        <row r="38">
          <cell r="A38">
            <v>7</v>
          </cell>
        </row>
        <row r="39">
          <cell r="A39">
            <v>8</v>
          </cell>
        </row>
        <row r="40">
          <cell r="A40">
            <v>9</v>
          </cell>
        </row>
        <row r="41">
          <cell r="A41">
            <v>10</v>
          </cell>
        </row>
        <row r="42">
          <cell r="A42">
            <v>11</v>
          </cell>
        </row>
        <row r="43">
          <cell r="A43">
            <v>12</v>
          </cell>
        </row>
        <row r="44">
          <cell r="A44">
            <v>13</v>
          </cell>
        </row>
        <row r="45">
          <cell r="A45">
            <v>14</v>
          </cell>
        </row>
        <row r="46">
          <cell r="A46">
            <v>15</v>
          </cell>
        </row>
        <row r="47">
          <cell r="A47">
            <v>16</v>
          </cell>
        </row>
        <row r="48">
          <cell r="A48">
            <v>17</v>
          </cell>
        </row>
        <row r="49">
          <cell r="A49">
            <v>18</v>
          </cell>
        </row>
        <row r="50">
          <cell r="A50">
            <v>19</v>
          </cell>
        </row>
        <row r="51">
          <cell r="A51">
            <v>20</v>
          </cell>
        </row>
        <row r="52">
          <cell r="A52">
            <v>21</v>
          </cell>
        </row>
        <row r="53">
          <cell r="A53">
            <v>22</v>
          </cell>
        </row>
        <row r="54">
          <cell r="A54">
            <v>23</v>
          </cell>
        </row>
        <row r="55">
          <cell r="A55">
            <v>24</v>
          </cell>
        </row>
        <row r="56">
          <cell r="A56">
            <v>25</v>
          </cell>
        </row>
        <row r="57">
          <cell r="A57">
            <v>26</v>
          </cell>
        </row>
      </sheetData>
      <sheetData sheetId="2" refreshError="1"/>
      <sheetData sheetId="3">
        <row r="4">
          <cell r="AN4" t="str">
            <v>Adel Messih</v>
          </cell>
        </row>
        <row r="5">
          <cell r="AN5" t="str">
            <v>Admiral</v>
          </cell>
        </row>
        <row r="6">
          <cell r="AN6" t="str">
            <v>Bailey's Tips</v>
          </cell>
        </row>
        <row r="7">
          <cell r="AN7" t="str">
            <v>Bart Simpson</v>
          </cell>
        </row>
        <row r="8">
          <cell r="AN8" t="str">
            <v>Big Moose</v>
          </cell>
        </row>
        <row r="9">
          <cell r="AN9" t="str">
            <v>Bill Barnes</v>
          </cell>
        </row>
        <row r="10">
          <cell r="AN10" t="str">
            <v>Black Cat</v>
          </cell>
        </row>
        <row r="11">
          <cell r="AN11" t="str">
            <v>broncos4eva</v>
          </cell>
        </row>
        <row r="12">
          <cell r="AN12" t="str">
            <v>Bruisers</v>
          </cell>
        </row>
        <row r="13">
          <cell r="AN13" t="str">
            <v>Camo</v>
          </cell>
        </row>
        <row r="14">
          <cell r="AN14" t="str">
            <v>Clayton5.7</v>
          </cell>
        </row>
        <row r="15">
          <cell r="AN15" t="str">
            <v>Daddles</v>
          </cell>
        </row>
        <row r="16">
          <cell r="AN16" t="str">
            <v>Daddy Cool</v>
          </cell>
        </row>
        <row r="17">
          <cell r="AN17" t="str">
            <v>Dizzle</v>
          </cell>
        </row>
        <row r="18">
          <cell r="AN18" t="str">
            <v>DPH</v>
          </cell>
        </row>
        <row r="19">
          <cell r="AN19" t="str">
            <v>DragonDazz</v>
          </cell>
        </row>
        <row r="20">
          <cell r="AN20" t="str">
            <v>Eelsman</v>
          </cell>
        </row>
        <row r="21">
          <cell r="AN21" t="str">
            <v>Eric The Eel</v>
          </cell>
        </row>
        <row r="22">
          <cell r="AN22" t="str">
            <v>Fire</v>
          </cell>
        </row>
        <row r="23">
          <cell r="AN23" t="str">
            <v>Frankie#1</v>
          </cell>
        </row>
        <row r="24">
          <cell r="AN24" t="str">
            <v>GDAD</v>
          </cell>
        </row>
        <row r="25">
          <cell r="AN25" t="str">
            <v>GeorgeTheDragon</v>
          </cell>
        </row>
        <row r="26">
          <cell r="AN26" t="str">
            <v>GoPara80</v>
          </cell>
        </row>
        <row r="27">
          <cell r="AN27" t="str">
            <v>HD Champ</v>
          </cell>
        </row>
        <row r="28">
          <cell r="AN28" t="str">
            <v>iTerry</v>
          </cell>
        </row>
        <row r="29">
          <cell r="AN29" t="str">
            <v>Jacob Kipakapu</v>
          </cell>
        </row>
        <row r="30">
          <cell r="AN30" t="str">
            <v>John Feeney</v>
          </cell>
        </row>
        <row r="31">
          <cell r="AN31" t="str">
            <v>Kane G</v>
          </cell>
        </row>
        <row r="32">
          <cell r="AN32" t="str">
            <v>Katherine</v>
          </cell>
        </row>
        <row r="33">
          <cell r="AN33" t="str">
            <v>Krusty</v>
          </cell>
        </row>
        <row r="34">
          <cell r="AN34" t="str">
            <v>Little Man</v>
          </cell>
        </row>
        <row r="35">
          <cell r="AN35" t="str">
            <v>Lou</v>
          </cell>
        </row>
        <row r="36">
          <cell r="AN36" t="str">
            <v>Luke Perkins</v>
          </cell>
        </row>
        <row r="37">
          <cell r="AN37" t="str">
            <v>Magnum</v>
          </cell>
        </row>
        <row r="38">
          <cell r="AN38" t="str">
            <v>Mary McGregor</v>
          </cell>
        </row>
        <row r="39">
          <cell r="AN39" t="str">
            <v>MB</v>
          </cell>
        </row>
        <row r="40">
          <cell r="AN40" t="str">
            <v>MB Too</v>
          </cell>
        </row>
        <row r="41">
          <cell r="AN41" t="str">
            <v>Meady</v>
          </cell>
        </row>
        <row r="42">
          <cell r="AN42" t="str">
            <v>MJP</v>
          </cell>
        </row>
        <row r="43">
          <cell r="AN43" t="str">
            <v>MLC</v>
          </cell>
        </row>
        <row r="44">
          <cell r="AN44" t="str">
            <v>Mr Taylor</v>
          </cell>
        </row>
        <row r="45">
          <cell r="AN45" t="str">
            <v>Mrs Magnum</v>
          </cell>
        </row>
        <row r="46">
          <cell r="AN46" t="str">
            <v>Murch</v>
          </cell>
        </row>
        <row r="47">
          <cell r="AN47" t="str">
            <v>Not Last</v>
          </cell>
        </row>
        <row r="48">
          <cell r="AN48" t="str">
            <v>Pa</v>
          </cell>
        </row>
        <row r="49">
          <cell r="AN49" t="str">
            <v>Pablo</v>
          </cell>
        </row>
        <row r="50">
          <cell r="AN50" t="str">
            <v>Pantherman</v>
          </cell>
        </row>
        <row r="51">
          <cell r="AN51" t="str">
            <v>Panthers29</v>
          </cell>
        </row>
        <row r="52">
          <cell r="AN52" t="str">
            <v>Parra Letic</v>
          </cell>
        </row>
        <row r="53">
          <cell r="AN53" t="str">
            <v>Plugger</v>
          </cell>
        </row>
        <row r="54">
          <cell r="AN54" t="str">
            <v>Plumber's Crack</v>
          </cell>
        </row>
        <row r="55">
          <cell r="AN55" t="str">
            <v>Robert Cook</v>
          </cell>
        </row>
        <row r="56">
          <cell r="AN56" t="str">
            <v>Ross Hickman</v>
          </cell>
        </row>
        <row r="57">
          <cell r="AN57" t="str">
            <v>RUNNER</v>
          </cell>
        </row>
        <row r="58">
          <cell r="AN58" t="str">
            <v>sculkin</v>
          </cell>
        </row>
        <row r="59">
          <cell r="AN59" t="str">
            <v>Shagged</v>
          </cell>
        </row>
        <row r="60">
          <cell r="AN60" t="str">
            <v>Smog</v>
          </cell>
        </row>
        <row r="61">
          <cell r="AN61" t="str">
            <v>Snatch</v>
          </cell>
        </row>
        <row r="62">
          <cell r="AN62" t="str">
            <v>SNP</v>
          </cell>
        </row>
        <row r="63">
          <cell r="AN63" t="str">
            <v>Special K</v>
          </cell>
        </row>
        <row r="64">
          <cell r="AN64" t="str">
            <v>Stallion</v>
          </cell>
        </row>
        <row r="65">
          <cell r="AN65" t="str">
            <v>Steve</v>
          </cell>
        </row>
        <row r="66">
          <cell r="AN66" t="str">
            <v>SydneyWarrior</v>
          </cell>
        </row>
        <row r="67">
          <cell r="AN67" t="str">
            <v>The Creator</v>
          </cell>
        </row>
        <row r="68">
          <cell r="AN68" t="str">
            <v>Tigers2005</v>
          </cell>
        </row>
        <row r="69">
          <cell r="AN69" t="str">
            <v>Timbo</v>
          </cell>
        </row>
        <row r="70">
          <cell r="AN70" t="str">
            <v>U_J</v>
          </cell>
        </row>
        <row r="71">
          <cell r="AN71" t="str">
            <v>Vince Nemba</v>
          </cell>
        </row>
        <row r="72">
          <cell r="AN72" t="str">
            <v>Wally</v>
          </cell>
        </row>
        <row r="73">
          <cell r="AN73" t="str">
            <v>Wile E C</v>
          </cell>
        </row>
        <row r="74">
          <cell r="AN74" t="str">
            <v>Wombat</v>
          </cell>
        </row>
        <row r="75">
          <cell r="AN75" t="str">
            <v>Yaccas</v>
          </cell>
        </row>
      </sheetData>
      <sheetData sheetId="4" refreshError="1"/>
      <sheetData sheetId="5" refreshError="1"/>
      <sheetData sheetId="6"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DD321FD9-3BC7-4F39-B130-999ED0334D50}" name="Table2" displayName="Table2" ref="B4:K59" totalsRowShown="0" headerRowDxfId="88" dataDxfId="87" tableBorderDxfId="86">
  <autoFilter ref="B4:K59" xr:uid="{DD321FD9-3BC7-4F39-B130-999ED0334D50}"/>
  <tableColumns count="10">
    <tableColumn id="1" xr3:uid="{BE1E5652-FBBD-422F-A8F7-82AB31898634}" name="Tipster" dataDxfId="85"/>
    <tableColumn id="2" xr3:uid="{516D96DF-4B85-4A3F-AAC8-EBA6AFF7286B}" name="Game 1" dataDxfId="84"/>
    <tableColumn id="3" xr3:uid="{2F93934B-0369-4EF2-BCA1-CBF077AC7762}" name="Game 2" dataDxfId="83"/>
    <tableColumn id="4" xr3:uid="{B36BA349-AB0F-4CFA-BDBD-4AD61491BC9D}" name="Game 3" dataDxfId="82"/>
    <tableColumn id="5" xr3:uid="{6762B69C-8A80-45A4-9747-D86D6E1DF0D7}" name="Game 4" dataDxfId="81"/>
    <tableColumn id="6" xr3:uid="{7A4D1A4B-D841-4EF7-A077-84EF70510391}" name="Game 5" dataDxfId="80"/>
    <tableColumn id="7" xr3:uid="{6FB1B464-9748-450C-B017-E8F63CDBD95A}" name="Game 6" dataDxfId="79"/>
    <tableColumn id="8" xr3:uid="{4C82ECCB-F66A-4BD1-9BB2-9875670B007B}" name="Game 7" dataDxfId="78"/>
    <tableColumn id="9" xr3:uid="{2F1A84DA-D666-4C31-9F6D-65925097A0FC}" name="Game 8" dataDxfId="77"/>
    <tableColumn id="10" xr3:uid="{660514A9-5A86-42C7-820F-30C7D2D36BFF}" name="Standout" dataDxfId="76"/>
  </tableColumns>
  <tableStyleInfo name="TableStyleMedium2"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drawing" Target="../drawings/drawing3.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9"/>
  <dimension ref="A1:IS60"/>
  <sheetViews>
    <sheetView showGridLines="0" showRowColHeaders="0" tabSelected="1" zoomScale="90" zoomScaleNormal="90" workbookViewId="0">
      <selection activeCell="E10" sqref="E10"/>
    </sheetView>
  </sheetViews>
  <sheetFormatPr defaultRowHeight="14.5" x14ac:dyDescent="0.35"/>
  <cols>
    <col min="1" max="1" width="0.81640625" style="12" customWidth="1"/>
    <col min="2" max="2" width="3.81640625" style="12" customWidth="1"/>
    <col min="3" max="3" width="12.1796875" style="15" bestFit="1" customWidth="1"/>
    <col min="4" max="4" width="12" style="12" bestFit="1" customWidth="1"/>
    <col min="5" max="5" width="30.26953125" style="12" customWidth="1"/>
    <col min="6" max="6" width="5.453125" style="12" customWidth="1"/>
    <col min="7" max="7" width="2.453125" style="12" customWidth="1"/>
    <col min="8" max="8" width="8.7265625" style="12"/>
    <col min="9" max="9" width="12" style="12" customWidth="1"/>
    <col min="10" max="10" width="12" style="12" bestFit="1" customWidth="1"/>
    <col min="11" max="11" width="7.54296875" style="12" bestFit="1" customWidth="1"/>
    <col min="12" max="12" width="1.7265625" style="12" customWidth="1"/>
    <col min="13" max="13" width="2.453125" style="15" customWidth="1"/>
    <col min="14" max="14" width="8.7265625" style="12"/>
    <col min="15" max="16" width="12" style="12" customWidth="1"/>
    <col min="17" max="17" width="7.54296875" style="16" bestFit="1" customWidth="1"/>
    <col min="18" max="18" width="2.1796875" style="12" customWidth="1"/>
    <col min="19" max="21" width="9.26953125" style="57" bestFit="1" customWidth="1"/>
    <col min="22" max="27" width="9.1796875" style="57" customWidth="1"/>
    <col min="28" max="28" width="9.1796875" style="105" customWidth="1"/>
    <col min="29" max="29" width="9.1796875" style="57" customWidth="1"/>
    <col min="30" max="30" width="10.1796875" style="57" customWidth="1"/>
    <col min="31" max="31" width="5.81640625" style="57" customWidth="1"/>
    <col min="32" max="32" width="8.26953125" style="57" customWidth="1"/>
    <col min="33" max="33" width="9.7265625" style="57" customWidth="1"/>
    <col min="34" max="34" width="8.1796875" style="57" customWidth="1"/>
    <col min="35" max="35" width="6.81640625" style="114" customWidth="1"/>
    <col min="36" max="36" width="7.7265625" style="57" customWidth="1"/>
    <col min="37" max="40" width="9.1796875" style="14" customWidth="1"/>
    <col min="41" max="43" width="9.1796875" style="13" customWidth="1"/>
    <col min="44" max="50" width="8.7265625" style="14"/>
    <col min="51" max="253" width="8.7265625" style="12"/>
    <col min="254" max="255" width="8.81640625" style="12" customWidth="1"/>
    <col min="256" max="257" width="0.81640625" style="12" customWidth="1"/>
    <col min="258" max="258" width="3.81640625" style="12" customWidth="1"/>
    <col min="259" max="259" width="12.1796875" style="12" bestFit="1" customWidth="1"/>
    <col min="260" max="260" width="12" style="12" bestFit="1" customWidth="1"/>
    <col min="261" max="261" width="30.26953125" style="12" customWidth="1"/>
    <col min="262" max="262" width="5.453125" style="12" customWidth="1"/>
    <col min="263" max="263" width="2.453125" style="12" customWidth="1"/>
    <col min="264" max="264" width="8.7265625" style="12"/>
    <col min="265" max="265" width="12" style="12" customWidth="1"/>
    <col min="266" max="266" width="12" style="12" bestFit="1" customWidth="1"/>
    <col min="267" max="267" width="7.54296875" style="12" bestFit="1" customWidth="1"/>
    <col min="268" max="268" width="1.7265625" style="12" customWidth="1"/>
    <col min="269" max="269" width="2.453125" style="12" customWidth="1"/>
    <col min="270" max="270" width="8.7265625" style="12"/>
    <col min="271" max="272" width="12" style="12" customWidth="1"/>
    <col min="273" max="273" width="7.54296875" style="12" bestFit="1" customWidth="1"/>
    <col min="274" max="274" width="2.1796875" style="12" customWidth="1"/>
    <col min="275" max="277" width="9.26953125" style="12" bestFit="1" customWidth="1"/>
    <col min="278" max="285" width="9.1796875" style="12" customWidth="1"/>
    <col min="286" max="286" width="10.1796875" style="12" customWidth="1"/>
    <col min="287" max="287" width="5.81640625" style="12" customWidth="1"/>
    <col min="288" max="288" width="8.26953125" style="12" customWidth="1"/>
    <col min="289" max="289" width="9.7265625" style="12" customWidth="1"/>
    <col min="290" max="290" width="8.1796875" style="12" customWidth="1"/>
    <col min="291" max="291" width="6.81640625" style="12" customWidth="1"/>
    <col min="292" max="292" width="7.7265625" style="12" customWidth="1"/>
    <col min="293" max="299" width="9.1796875" style="12" customWidth="1"/>
    <col min="300" max="509" width="8.7265625" style="12"/>
    <col min="510" max="511" width="8.81640625" style="12" customWidth="1"/>
    <col min="512" max="513" width="0.81640625" style="12" customWidth="1"/>
    <col min="514" max="514" width="3.81640625" style="12" customWidth="1"/>
    <col min="515" max="515" width="12.1796875" style="12" bestFit="1" customWidth="1"/>
    <col min="516" max="516" width="12" style="12" bestFit="1" customWidth="1"/>
    <col min="517" max="517" width="30.26953125" style="12" customWidth="1"/>
    <col min="518" max="518" width="5.453125" style="12" customWidth="1"/>
    <col min="519" max="519" width="2.453125" style="12" customWidth="1"/>
    <col min="520" max="520" width="8.7265625" style="12"/>
    <col min="521" max="521" width="12" style="12" customWidth="1"/>
    <col min="522" max="522" width="12" style="12" bestFit="1" customWidth="1"/>
    <col min="523" max="523" width="7.54296875" style="12" bestFit="1" customWidth="1"/>
    <col min="524" max="524" width="1.7265625" style="12" customWidth="1"/>
    <col min="525" max="525" width="2.453125" style="12" customWidth="1"/>
    <col min="526" max="526" width="8.7265625" style="12"/>
    <col min="527" max="528" width="12" style="12" customWidth="1"/>
    <col min="529" max="529" width="7.54296875" style="12" bestFit="1" customWidth="1"/>
    <col min="530" max="530" width="2.1796875" style="12" customWidth="1"/>
    <col min="531" max="533" width="9.26953125" style="12" bestFit="1" customWidth="1"/>
    <col min="534" max="541" width="9.1796875" style="12" customWidth="1"/>
    <col min="542" max="542" width="10.1796875" style="12" customWidth="1"/>
    <col min="543" max="543" width="5.81640625" style="12" customWidth="1"/>
    <col min="544" max="544" width="8.26953125" style="12" customWidth="1"/>
    <col min="545" max="545" width="9.7265625" style="12" customWidth="1"/>
    <col min="546" max="546" width="8.1796875" style="12" customWidth="1"/>
    <col min="547" max="547" width="6.81640625" style="12" customWidth="1"/>
    <col min="548" max="548" width="7.7265625" style="12" customWidth="1"/>
    <col min="549" max="555" width="9.1796875" style="12" customWidth="1"/>
    <col min="556" max="765" width="8.7265625" style="12"/>
    <col min="766" max="767" width="8.81640625" style="12" customWidth="1"/>
    <col min="768" max="769" width="0.81640625" style="12" customWidth="1"/>
    <col min="770" max="770" width="3.81640625" style="12" customWidth="1"/>
    <col min="771" max="771" width="12.1796875" style="12" bestFit="1" customWidth="1"/>
    <col min="772" max="772" width="12" style="12" bestFit="1" customWidth="1"/>
    <col min="773" max="773" width="30.26953125" style="12" customWidth="1"/>
    <col min="774" max="774" width="5.453125" style="12" customWidth="1"/>
    <col min="775" max="775" width="2.453125" style="12" customWidth="1"/>
    <col min="776" max="776" width="8.7265625" style="12"/>
    <col min="777" max="777" width="12" style="12" customWidth="1"/>
    <col min="778" max="778" width="12" style="12" bestFit="1" customWidth="1"/>
    <col min="779" max="779" width="7.54296875" style="12" bestFit="1" customWidth="1"/>
    <col min="780" max="780" width="1.7265625" style="12" customWidth="1"/>
    <col min="781" max="781" width="2.453125" style="12" customWidth="1"/>
    <col min="782" max="782" width="8.7265625" style="12"/>
    <col min="783" max="784" width="12" style="12" customWidth="1"/>
    <col min="785" max="785" width="7.54296875" style="12" bestFit="1" customWidth="1"/>
    <col min="786" max="786" width="2.1796875" style="12" customWidth="1"/>
    <col min="787" max="789" width="9.26953125" style="12" bestFit="1" customWidth="1"/>
    <col min="790" max="797" width="9.1796875" style="12" customWidth="1"/>
    <col min="798" max="798" width="10.1796875" style="12" customWidth="1"/>
    <col min="799" max="799" width="5.81640625" style="12" customWidth="1"/>
    <col min="800" max="800" width="8.26953125" style="12" customWidth="1"/>
    <col min="801" max="801" width="9.7265625" style="12" customWidth="1"/>
    <col min="802" max="802" width="8.1796875" style="12" customWidth="1"/>
    <col min="803" max="803" width="6.81640625" style="12" customWidth="1"/>
    <col min="804" max="804" width="7.7265625" style="12" customWidth="1"/>
    <col min="805" max="811" width="9.1796875" style="12" customWidth="1"/>
    <col min="812" max="1021" width="8.7265625" style="12"/>
    <col min="1022" max="1023" width="8.81640625" style="12" customWidth="1"/>
    <col min="1024" max="1025" width="0.81640625" style="12" customWidth="1"/>
    <col min="1026" max="1026" width="3.81640625" style="12" customWidth="1"/>
    <col min="1027" max="1027" width="12.1796875" style="12" bestFit="1" customWidth="1"/>
    <col min="1028" max="1028" width="12" style="12" bestFit="1" customWidth="1"/>
    <col min="1029" max="1029" width="30.26953125" style="12" customWidth="1"/>
    <col min="1030" max="1030" width="5.453125" style="12" customWidth="1"/>
    <col min="1031" max="1031" width="2.453125" style="12" customWidth="1"/>
    <col min="1032" max="1032" width="8.7265625" style="12"/>
    <col min="1033" max="1033" width="12" style="12" customWidth="1"/>
    <col min="1034" max="1034" width="12" style="12" bestFit="1" customWidth="1"/>
    <col min="1035" max="1035" width="7.54296875" style="12" bestFit="1" customWidth="1"/>
    <col min="1036" max="1036" width="1.7265625" style="12" customWidth="1"/>
    <col min="1037" max="1037" width="2.453125" style="12" customWidth="1"/>
    <col min="1038" max="1038" width="8.7265625" style="12"/>
    <col min="1039" max="1040" width="12" style="12" customWidth="1"/>
    <col min="1041" max="1041" width="7.54296875" style="12" bestFit="1" customWidth="1"/>
    <col min="1042" max="1042" width="2.1796875" style="12" customWidth="1"/>
    <col min="1043" max="1045" width="9.26953125" style="12" bestFit="1" customWidth="1"/>
    <col min="1046" max="1053" width="9.1796875" style="12" customWidth="1"/>
    <col min="1054" max="1054" width="10.1796875" style="12" customWidth="1"/>
    <col min="1055" max="1055" width="5.81640625" style="12" customWidth="1"/>
    <col min="1056" max="1056" width="8.26953125" style="12" customWidth="1"/>
    <col min="1057" max="1057" width="9.7265625" style="12" customWidth="1"/>
    <col min="1058" max="1058" width="8.1796875" style="12" customWidth="1"/>
    <col min="1059" max="1059" width="6.81640625" style="12" customWidth="1"/>
    <col min="1060" max="1060" width="7.7265625" style="12" customWidth="1"/>
    <col min="1061" max="1067" width="9.1796875" style="12" customWidth="1"/>
    <col min="1068" max="1277" width="8.7265625" style="12"/>
    <col min="1278" max="1279" width="8.81640625" style="12" customWidth="1"/>
    <col min="1280" max="1281" width="0.81640625" style="12" customWidth="1"/>
    <col min="1282" max="1282" width="3.81640625" style="12" customWidth="1"/>
    <col min="1283" max="1283" width="12.1796875" style="12" bestFit="1" customWidth="1"/>
    <col min="1284" max="1284" width="12" style="12" bestFit="1" customWidth="1"/>
    <col min="1285" max="1285" width="30.26953125" style="12" customWidth="1"/>
    <col min="1286" max="1286" width="5.453125" style="12" customWidth="1"/>
    <col min="1287" max="1287" width="2.453125" style="12" customWidth="1"/>
    <col min="1288" max="1288" width="8.7265625" style="12"/>
    <col min="1289" max="1289" width="12" style="12" customWidth="1"/>
    <col min="1290" max="1290" width="12" style="12" bestFit="1" customWidth="1"/>
    <col min="1291" max="1291" width="7.54296875" style="12" bestFit="1" customWidth="1"/>
    <col min="1292" max="1292" width="1.7265625" style="12" customWidth="1"/>
    <col min="1293" max="1293" width="2.453125" style="12" customWidth="1"/>
    <col min="1294" max="1294" width="8.7265625" style="12"/>
    <col min="1295" max="1296" width="12" style="12" customWidth="1"/>
    <col min="1297" max="1297" width="7.54296875" style="12" bestFit="1" customWidth="1"/>
    <col min="1298" max="1298" width="2.1796875" style="12" customWidth="1"/>
    <col min="1299" max="1301" width="9.26953125" style="12" bestFit="1" customWidth="1"/>
    <col min="1302" max="1309" width="9.1796875" style="12" customWidth="1"/>
    <col min="1310" max="1310" width="10.1796875" style="12" customWidth="1"/>
    <col min="1311" max="1311" width="5.81640625" style="12" customWidth="1"/>
    <col min="1312" max="1312" width="8.26953125" style="12" customWidth="1"/>
    <col min="1313" max="1313" width="9.7265625" style="12" customWidth="1"/>
    <col min="1314" max="1314" width="8.1796875" style="12" customWidth="1"/>
    <col min="1315" max="1315" width="6.81640625" style="12" customWidth="1"/>
    <col min="1316" max="1316" width="7.7265625" style="12" customWidth="1"/>
    <col min="1317" max="1323" width="9.1796875" style="12" customWidth="1"/>
    <col min="1324" max="1533" width="8.7265625" style="12"/>
    <col min="1534" max="1535" width="8.81640625" style="12" customWidth="1"/>
    <col min="1536" max="1537" width="0.81640625" style="12" customWidth="1"/>
    <col min="1538" max="1538" width="3.81640625" style="12" customWidth="1"/>
    <col min="1539" max="1539" width="12.1796875" style="12" bestFit="1" customWidth="1"/>
    <col min="1540" max="1540" width="12" style="12" bestFit="1" customWidth="1"/>
    <col min="1541" max="1541" width="30.26953125" style="12" customWidth="1"/>
    <col min="1542" max="1542" width="5.453125" style="12" customWidth="1"/>
    <col min="1543" max="1543" width="2.453125" style="12" customWidth="1"/>
    <col min="1544" max="1544" width="8.7265625" style="12"/>
    <col min="1545" max="1545" width="12" style="12" customWidth="1"/>
    <col min="1546" max="1546" width="12" style="12" bestFit="1" customWidth="1"/>
    <col min="1547" max="1547" width="7.54296875" style="12" bestFit="1" customWidth="1"/>
    <col min="1548" max="1548" width="1.7265625" style="12" customWidth="1"/>
    <col min="1549" max="1549" width="2.453125" style="12" customWidth="1"/>
    <col min="1550" max="1550" width="8.7265625" style="12"/>
    <col min="1551" max="1552" width="12" style="12" customWidth="1"/>
    <col min="1553" max="1553" width="7.54296875" style="12" bestFit="1" customWidth="1"/>
    <col min="1554" max="1554" width="2.1796875" style="12" customWidth="1"/>
    <col min="1555" max="1557" width="9.26953125" style="12" bestFit="1" customWidth="1"/>
    <col min="1558" max="1565" width="9.1796875" style="12" customWidth="1"/>
    <col min="1566" max="1566" width="10.1796875" style="12" customWidth="1"/>
    <col min="1567" max="1567" width="5.81640625" style="12" customWidth="1"/>
    <col min="1568" max="1568" width="8.26953125" style="12" customWidth="1"/>
    <col min="1569" max="1569" width="9.7265625" style="12" customWidth="1"/>
    <col min="1570" max="1570" width="8.1796875" style="12" customWidth="1"/>
    <col min="1571" max="1571" width="6.81640625" style="12" customWidth="1"/>
    <col min="1572" max="1572" width="7.7265625" style="12" customWidth="1"/>
    <col min="1573" max="1579" width="9.1796875" style="12" customWidth="1"/>
    <col min="1580" max="1789" width="8.7265625" style="12"/>
    <col min="1790" max="1791" width="8.81640625" style="12" customWidth="1"/>
    <col min="1792" max="1793" width="0.81640625" style="12" customWidth="1"/>
    <col min="1794" max="1794" width="3.81640625" style="12" customWidth="1"/>
    <col min="1795" max="1795" width="12.1796875" style="12" bestFit="1" customWidth="1"/>
    <col min="1796" max="1796" width="12" style="12" bestFit="1" customWidth="1"/>
    <col min="1797" max="1797" width="30.26953125" style="12" customWidth="1"/>
    <col min="1798" max="1798" width="5.453125" style="12" customWidth="1"/>
    <col min="1799" max="1799" width="2.453125" style="12" customWidth="1"/>
    <col min="1800" max="1800" width="8.7265625" style="12"/>
    <col min="1801" max="1801" width="12" style="12" customWidth="1"/>
    <col min="1802" max="1802" width="12" style="12" bestFit="1" customWidth="1"/>
    <col min="1803" max="1803" width="7.54296875" style="12" bestFit="1" customWidth="1"/>
    <col min="1804" max="1804" width="1.7265625" style="12" customWidth="1"/>
    <col min="1805" max="1805" width="2.453125" style="12" customWidth="1"/>
    <col min="1806" max="1806" width="8.7265625" style="12"/>
    <col min="1807" max="1808" width="12" style="12" customWidth="1"/>
    <col min="1809" max="1809" width="7.54296875" style="12" bestFit="1" customWidth="1"/>
    <col min="1810" max="1810" width="2.1796875" style="12" customWidth="1"/>
    <col min="1811" max="1813" width="9.26953125" style="12" bestFit="1" customWidth="1"/>
    <col min="1814" max="1821" width="9.1796875" style="12" customWidth="1"/>
    <col min="1822" max="1822" width="10.1796875" style="12" customWidth="1"/>
    <col min="1823" max="1823" width="5.81640625" style="12" customWidth="1"/>
    <col min="1824" max="1824" width="8.26953125" style="12" customWidth="1"/>
    <col min="1825" max="1825" width="9.7265625" style="12" customWidth="1"/>
    <col min="1826" max="1826" width="8.1796875" style="12" customWidth="1"/>
    <col min="1827" max="1827" width="6.81640625" style="12" customWidth="1"/>
    <col min="1828" max="1828" width="7.7265625" style="12" customWidth="1"/>
    <col min="1829" max="1835" width="9.1796875" style="12" customWidth="1"/>
    <col min="1836" max="2045" width="8.7265625" style="12"/>
    <col min="2046" max="2047" width="8.81640625" style="12" customWidth="1"/>
    <col min="2048" max="2049" width="0.81640625" style="12" customWidth="1"/>
    <col min="2050" max="2050" width="3.81640625" style="12" customWidth="1"/>
    <col min="2051" max="2051" width="12.1796875" style="12" bestFit="1" customWidth="1"/>
    <col min="2052" max="2052" width="12" style="12" bestFit="1" customWidth="1"/>
    <col min="2053" max="2053" width="30.26953125" style="12" customWidth="1"/>
    <col min="2054" max="2054" width="5.453125" style="12" customWidth="1"/>
    <col min="2055" max="2055" width="2.453125" style="12" customWidth="1"/>
    <col min="2056" max="2056" width="8.7265625" style="12"/>
    <col min="2057" max="2057" width="12" style="12" customWidth="1"/>
    <col min="2058" max="2058" width="12" style="12" bestFit="1" customWidth="1"/>
    <col min="2059" max="2059" width="7.54296875" style="12" bestFit="1" customWidth="1"/>
    <col min="2060" max="2060" width="1.7265625" style="12" customWidth="1"/>
    <col min="2061" max="2061" width="2.453125" style="12" customWidth="1"/>
    <col min="2062" max="2062" width="8.7265625" style="12"/>
    <col min="2063" max="2064" width="12" style="12" customWidth="1"/>
    <col min="2065" max="2065" width="7.54296875" style="12" bestFit="1" customWidth="1"/>
    <col min="2066" max="2066" width="2.1796875" style="12" customWidth="1"/>
    <col min="2067" max="2069" width="9.26953125" style="12" bestFit="1" customWidth="1"/>
    <col min="2070" max="2077" width="9.1796875" style="12" customWidth="1"/>
    <col min="2078" max="2078" width="10.1796875" style="12" customWidth="1"/>
    <col min="2079" max="2079" width="5.81640625" style="12" customWidth="1"/>
    <col min="2080" max="2080" width="8.26953125" style="12" customWidth="1"/>
    <col min="2081" max="2081" width="9.7265625" style="12" customWidth="1"/>
    <col min="2082" max="2082" width="8.1796875" style="12" customWidth="1"/>
    <col min="2083" max="2083" width="6.81640625" style="12" customWidth="1"/>
    <col min="2084" max="2084" width="7.7265625" style="12" customWidth="1"/>
    <col min="2085" max="2091" width="9.1796875" style="12" customWidth="1"/>
    <col min="2092" max="2301" width="8.7265625" style="12"/>
    <col min="2302" max="2303" width="8.81640625" style="12" customWidth="1"/>
    <col min="2304" max="2305" width="0.81640625" style="12" customWidth="1"/>
    <col min="2306" max="2306" width="3.81640625" style="12" customWidth="1"/>
    <col min="2307" max="2307" width="12.1796875" style="12" bestFit="1" customWidth="1"/>
    <col min="2308" max="2308" width="12" style="12" bestFit="1" customWidth="1"/>
    <col min="2309" max="2309" width="30.26953125" style="12" customWidth="1"/>
    <col min="2310" max="2310" width="5.453125" style="12" customWidth="1"/>
    <col min="2311" max="2311" width="2.453125" style="12" customWidth="1"/>
    <col min="2312" max="2312" width="8.7265625" style="12"/>
    <col min="2313" max="2313" width="12" style="12" customWidth="1"/>
    <col min="2314" max="2314" width="12" style="12" bestFit="1" customWidth="1"/>
    <col min="2315" max="2315" width="7.54296875" style="12" bestFit="1" customWidth="1"/>
    <col min="2316" max="2316" width="1.7265625" style="12" customWidth="1"/>
    <col min="2317" max="2317" width="2.453125" style="12" customWidth="1"/>
    <col min="2318" max="2318" width="8.7265625" style="12"/>
    <col min="2319" max="2320" width="12" style="12" customWidth="1"/>
    <col min="2321" max="2321" width="7.54296875" style="12" bestFit="1" customWidth="1"/>
    <col min="2322" max="2322" width="2.1796875" style="12" customWidth="1"/>
    <col min="2323" max="2325" width="9.26953125" style="12" bestFit="1" customWidth="1"/>
    <col min="2326" max="2333" width="9.1796875" style="12" customWidth="1"/>
    <col min="2334" max="2334" width="10.1796875" style="12" customWidth="1"/>
    <col min="2335" max="2335" width="5.81640625" style="12" customWidth="1"/>
    <col min="2336" max="2336" width="8.26953125" style="12" customWidth="1"/>
    <col min="2337" max="2337" width="9.7265625" style="12" customWidth="1"/>
    <col min="2338" max="2338" width="8.1796875" style="12" customWidth="1"/>
    <col min="2339" max="2339" width="6.81640625" style="12" customWidth="1"/>
    <col min="2340" max="2340" width="7.7265625" style="12" customWidth="1"/>
    <col min="2341" max="2347" width="9.1796875" style="12" customWidth="1"/>
    <col min="2348" max="2557" width="8.7265625" style="12"/>
    <col min="2558" max="2559" width="8.81640625" style="12" customWidth="1"/>
    <col min="2560" max="2561" width="0.81640625" style="12" customWidth="1"/>
    <col min="2562" max="2562" width="3.81640625" style="12" customWidth="1"/>
    <col min="2563" max="2563" width="12.1796875" style="12" bestFit="1" customWidth="1"/>
    <col min="2564" max="2564" width="12" style="12" bestFit="1" customWidth="1"/>
    <col min="2565" max="2565" width="30.26953125" style="12" customWidth="1"/>
    <col min="2566" max="2566" width="5.453125" style="12" customWidth="1"/>
    <col min="2567" max="2567" width="2.453125" style="12" customWidth="1"/>
    <col min="2568" max="2568" width="8.7265625" style="12"/>
    <col min="2569" max="2569" width="12" style="12" customWidth="1"/>
    <col min="2570" max="2570" width="12" style="12" bestFit="1" customWidth="1"/>
    <col min="2571" max="2571" width="7.54296875" style="12" bestFit="1" customWidth="1"/>
    <col min="2572" max="2572" width="1.7265625" style="12" customWidth="1"/>
    <col min="2573" max="2573" width="2.453125" style="12" customWidth="1"/>
    <col min="2574" max="2574" width="8.7265625" style="12"/>
    <col min="2575" max="2576" width="12" style="12" customWidth="1"/>
    <col min="2577" max="2577" width="7.54296875" style="12" bestFit="1" customWidth="1"/>
    <col min="2578" max="2578" width="2.1796875" style="12" customWidth="1"/>
    <col min="2579" max="2581" width="9.26953125" style="12" bestFit="1" customWidth="1"/>
    <col min="2582" max="2589" width="9.1796875" style="12" customWidth="1"/>
    <col min="2590" max="2590" width="10.1796875" style="12" customWidth="1"/>
    <col min="2591" max="2591" width="5.81640625" style="12" customWidth="1"/>
    <col min="2592" max="2592" width="8.26953125" style="12" customWidth="1"/>
    <col min="2593" max="2593" width="9.7265625" style="12" customWidth="1"/>
    <col min="2594" max="2594" width="8.1796875" style="12" customWidth="1"/>
    <col min="2595" max="2595" width="6.81640625" style="12" customWidth="1"/>
    <col min="2596" max="2596" width="7.7265625" style="12" customWidth="1"/>
    <col min="2597" max="2603" width="9.1796875" style="12" customWidth="1"/>
    <col min="2604" max="2813" width="8.7265625" style="12"/>
    <col min="2814" max="2815" width="8.81640625" style="12" customWidth="1"/>
    <col min="2816" max="2817" width="0.81640625" style="12" customWidth="1"/>
    <col min="2818" max="2818" width="3.81640625" style="12" customWidth="1"/>
    <col min="2819" max="2819" width="12.1796875" style="12" bestFit="1" customWidth="1"/>
    <col min="2820" max="2820" width="12" style="12" bestFit="1" customWidth="1"/>
    <col min="2821" max="2821" width="30.26953125" style="12" customWidth="1"/>
    <col min="2822" max="2822" width="5.453125" style="12" customWidth="1"/>
    <col min="2823" max="2823" width="2.453125" style="12" customWidth="1"/>
    <col min="2824" max="2824" width="8.7265625" style="12"/>
    <col min="2825" max="2825" width="12" style="12" customWidth="1"/>
    <col min="2826" max="2826" width="12" style="12" bestFit="1" customWidth="1"/>
    <col min="2827" max="2827" width="7.54296875" style="12" bestFit="1" customWidth="1"/>
    <col min="2828" max="2828" width="1.7265625" style="12" customWidth="1"/>
    <col min="2829" max="2829" width="2.453125" style="12" customWidth="1"/>
    <col min="2830" max="2830" width="8.7265625" style="12"/>
    <col min="2831" max="2832" width="12" style="12" customWidth="1"/>
    <col min="2833" max="2833" width="7.54296875" style="12" bestFit="1" customWidth="1"/>
    <col min="2834" max="2834" width="2.1796875" style="12" customWidth="1"/>
    <col min="2835" max="2837" width="9.26953125" style="12" bestFit="1" customWidth="1"/>
    <col min="2838" max="2845" width="9.1796875" style="12" customWidth="1"/>
    <col min="2846" max="2846" width="10.1796875" style="12" customWidth="1"/>
    <col min="2847" max="2847" width="5.81640625" style="12" customWidth="1"/>
    <col min="2848" max="2848" width="8.26953125" style="12" customWidth="1"/>
    <col min="2849" max="2849" width="9.7265625" style="12" customWidth="1"/>
    <col min="2850" max="2850" width="8.1796875" style="12" customWidth="1"/>
    <col min="2851" max="2851" width="6.81640625" style="12" customWidth="1"/>
    <col min="2852" max="2852" width="7.7265625" style="12" customWidth="1"/>
    <col min="2853" max="2859" width="9.1796875" style="12" customWidth="1"/>
    <col min="2860" max="3069" width="8.7265625" style="12"/>
    <col min="3070" max="3071" width="8.81640625" style="12" customWidth="1"/>
    <col min="3072" max="3073" width="0.81640625" style="12" customWidth="1"/>
    <col min="3074" max="3074" width="3.81640625" style="12" customWidth="1"/>
    <col min="3075" max="3075" width="12.1796875" style="12" bestFit="1" customWidth="1"/>
    <col min="3076" max="3076" width="12" style="12" bestFit="1" customWidth="1"/>
    <col min="3077" max="3077" width="30.26953125" style="12" customWidth="1"/>
    <col min="3078" max="3078" width="5.453125" style="12" customWidth="1"/>
    <col min="3079" max="3079" width="2.453125" style="12" customWidth="1"/>
    <col min="3080" max="3080" width="8.7265625" style="12"/>
    <col min="3081" max="3081" width="12" style="12" customWidth="1"/>
    <col min="3082" max="3082" width="12" style="12" bestFit="1" customWidth="1"/>
    <col min="3083" max="3083" width="7.54296875" style="12" bestFit="1" customWidth="1"/>
    <col min="3084" max="3084" width="1.7265625" style="12" customWidth="1"/>
    <col min="3085" max="3085" width="2.453125" style="12" customWidth="1"/>
    <col min="3086" max="3086" width="8.7265625" style="12"/>
    <col min="3087" max="3088" width="12" style="12" customWidth="1"/>
    <col min="3089" max="3089" width="7.54296875" style="12" bestFit="1" customWidth="1"/>
    <col min="3090" max="3090" width="2.1796875" style="12" customWidth="1"/>
    <col min="3091" max="3093" width="9.26953125" style="12" bestFit="1" customWidth="1"/>
    <col min="3094" max="3101" width="9.1796875" style="12" customWidth="1"/>
    <col min="3102" max="3102" width="10.1796875" style="12" customWidth="1"/>
    <col min="3103" max="3103" width="5.81640625" style="12" customWidth="1"/>
    <col min="3104" max="3104" width="8.26953125" style="12" customWidth="1"/>
    <col min="3105" max="3105" width="9.7265625" style="12" customWidth="1"/>
    <col min="3106" max="3106" width="8.1796875" style="12" customWidth="1"/>
    <col min="3107" max="3107" width="6.81640625" style="12" customWidth="1"/>
    <col min="3108" max="3108" width="7.7265625" style="12" customWidth="1"/>
    <col min="3109" max="3115" width="9.1796875" style="12" customWidth="1"/>
    <col min="3116" max="3325" width="8.7265625" style="12"/>
    <col min="3326" max="3327" width="8.81640625" style="12" customWidth="1"/>
    <col min="3328" max="3329" width="0.81640625" style="12" customWidth="1"/>
    <col min="3330" max="3330" width="3.81640625" style="12" customWidth="1"/>
    <col min="3331" max="3331" width="12.1796875" style="12" bestFit="1" customWidth="1"/>
    <col min="3332" max="3332" width="12" style="12" bestFit="1" customWidth="1"/>
    <col min="3333" max="3333" width="30.26953125" style="12" customWidth="1"/>
    <col min="3334" max="3334" width="5.453125" style="12" customWidth="1"/>
    <col min="3335" max="3335" width="2.453125" style="12" customWidth="1"/>
    <col min="3336" max="3336" width="8.7265625" style="12"/>
    <col min="3337" max="3337" width="12" style="12" customWidth="1"/>
    <col min="3338" max="3338" width="12" style="12" bestFit="1" customWidth="1"/>
    <col min="3339" max="3339" width="7.54296875" style="12" bestFit="1" customWidth="1"/>
    <col min="3340" max="3340" width="1.7265625" style="12" customWidth="1"/>
    <col min="3341" max="3341" width="2.453125" style="12" customWidth="1"/>
    <col min="3342" max="3342" width="8.7265625" style="12"/>
    <col min="3343" max="3344" width="12" style="12" customWidth="1"/>
    <col min="3345" max="3345" width="7.54296875" style="12" bestFit="1" customWidth="1"/>
    <col min="3346" max="3346" width="2.1796875" style="12" customWidth="1"/>
    <col min="3347" max="3349" width="9.26953125" style="12" bestFit="1" customWidth="1"/>
    <col min="3350" max="3357" width="9.1796875" style="12" customWidth="1"/>
    <col min="3358" max="3358" width="10.1796875" style="12" customWidth="1"/>
    <col min="3359" max="3359" width="5.81640625" style="12" customWidth="1"/>
    <col min="3360" max="3360" width="8.26953125" style="12" customWidth="1"/>
    <col min="3361" max="3361" width="9.7265625" style="12" customWidth="1"/>
    <col min="3362" max="3362" width="8.1796875" style="12" customWidth="1"/>
    <col min="3363" max="3363" width="6.81640625" style="12" customWidth="1"/>
    <col min="3364" max="3364" width="7.7265625" style="12" customWidth="1"/>
    <col min="3365" max="3371" width="9.1796875" style="12" customWidth="1"/>
    <col min="3372" max="3581" width="8.7265625" style="12"/>
    <col min="3582" max="3583" width="8.81640625" style="12" customWidth="1"/>
    <col min="3584" max="3585" width="0.81640625" style="12" customWidth="1"/>
    <col min="3586" max="3586" width="3.81640625" style="12" customWidth="1"/>
    <col min="3587" max="3587" width="12.1796875" style="12" bestFit="1" customWidth="1"/>
    <col min="3588" max="3588" width="12" style="12" bestFit="1" customWidth="1"/>
    <col min="3589" max="3589" width="30.26953125" style="12" customWidth="1"/>
    <col min="3590" max="3590" width="5.453125" style="12" customWidth="1"/>
    <col min="3591" max="3591" width="2.453125" style="12" customWidth="1"/>
    <col min="3592" max="3592" width="8.7265625" style="12"/>
    <col min="3593" max="3593" width="12" style="12" customWidth="1"/>
    <col min="3594" max="3594" width="12" style="12" bestFit="1" customWidth="1"/>
    <col min="3595" max="3595" width="7.54296875" style="12" bestFit="1" customWidth="1"/>
    <col min="3596" max="3596" width="1.7265625" style="12" customWidth="1"/>
    <col min="3597" max="3597" width="2.453125" style="12" customWidth="1"/>
    <col min="3598" max="3598" width="8.7265625" style="12"/>
    <col min="3599" max="3600" width="12" style="12" customWidth="1"/>
    <col min="3601" max="3601" width="7.54296875" style="12" bestFit="1" customWidth="1"/>
    <col min="3602" max="3602" width="2.1796875" style="12" customWidth="1"/>
    <col min="3603" max="3605" width="9.26953125" style="12" bestFit="1" customWidth="1"/>
    <col min="3606" max="3613" width="9.1796875" style="12" customWidth="1"/>
    <col min="3614" max="3614" width="10.1796875" style="12" customWidth="1"/>
    <col min="3615" max="3615" width="5.81640625" style="12" customWidth="1"/>
    <col min="3616" max="3616" width="8.26953125" style="12" customWidth="1"/>
    <col min="3617" max="3617" width="9.7265625" style="12" customWidth="1"/>
    <col min="3618" max="3618" width="8.1796875" style="12" customWidth="1"/>
    <col min="3619" max="3619" width="6.81640625" style="12" customWidth="1"/>
    <col min="3620" max="3620" width="7.7265625" style="12" customWidth="1"/>
    <col min="3621" max="3627" width="9.1796875" style="12" customWidth="1"/>
    <col min="3628" max="3837" width="8.7265625" style="12"/>
    <col min="3838" max="3839" width="8.81640625" style="12" customWidth="1"/>
    <col min="3840" max="3841" width="0.81640625" style="12" customWidth="1"/>
    <col min="3842" max="3842" width="3.81640625" style="12" customWidth="1"/>
    <col min="3843" max="3843" width="12.1796875" style="12" bestFit="1" customWidth="1"/>
    <col min="3844" max="3844" width="12" style="12" bestFit="1" customWidth="1"/>
    <col min="3845" max="3845" width="30.26953125" style="12" customWidth="1"/>
    <col min="3846" max="3846" width="5.453125" style="12" customWidth="1"/>
    <col min="3847" max="3847" width="2.453125" style="12" customWidth="1"/>
    <col min="3848" max="3848" width="8.7265625" style="12"/>
    <col min="3849" max="3849" width="12" style="12" customWidth="1"/>
    <col min="3850" max="3850" width="12" style="12" bestFit="1" customWidth="1"/>
    <col min="3851" max="3851" width="7.54296875" style="12" bestFit="1" customWidth="1"/>
    <col min="3852" max="3852" width="1.7265625" style="12" customWidth="1"/>
    <col min="3853" max="3853" width="2.453125" style="12" customWidth="1"/>
    <col min="3854" max="3854" width="8.7265625" style="12"/>
    <col min="3855" max="3856" width="12" style="12" customWidth="1"/>
    <col min="3857" max="3857" width="7.54296875" style="12" bestFit="1" customWidth="1"/>
    <col min="3858" max="3858" width="2.1796875" style="12" customWidth="1"/>
    <col min="3859" max="3861" width="9.26953125" style="12" bestFit="1" customWidth="1"/>
    <col min="3862" max="3869" width="9.1796875" style="12" customWidth="1"/>
    <col min="3870" max="3870" width="10.1796875" style="12" customWidth="1"/>
    <col min="3871" max="3871" width="5.81640625" style="12" customWidth="1"/>
    <col min="3872" max="3872" width="8.26953125" style="12" customWidth="1"/>
    <col min="3873" max="3873" width="9.7265625" style="12" customWidth="1"/>
    <col min="3874" max="3874" width="8.1796875" style="12" customWidth="1"/>
    <col min="3875" max="3875" width="6.81640625" style="12" customWidth="1"/>
    <col min="3876" max="3876" width="7.7265625" style="12" customWidth="1"/>
    <col min="3877" max="3883" width="9.1796875" style="12" customWidth="1"/>
    <col min="3884" max="4093" width="8.7265625" style="12"/>
    <col min="4094" max="4095" width="8.81640625" style="12" customWidth="1"/>
    <col min="4096" max="4097" width="0.81640625" style="12" customWidth="1"/>
    <col min="4098" max="4098" width="3.81640625" style="12" customWidth="1"/>
    <col min="4099" max="4099" width="12.1796875" style="12" bestFit="1" customWidth="1"/>
    <col min="4100" max="4100" width="12" style="12" bestFit="1" customWidth="1"/>
    <col min="4101" max="4101" width="30.26953125" style="12" customWidth="1"/>
    <col min="4102" max="4102" width="5.453125" style="12" customWidth="1"/>
    <col min="4103" max="4103" width="2.453125" style="12" customWidth="1"/>
    <col min="4104" max="4104" width="8.7265625" style="12"/>
    <col min="4105" max="4105" width="12" style="12" customWidth="1"/>
    <col min="4106" max="4106" width="12" style="12" bestFit="1" customWidth="1"/>
    <col min="4107" max="4107" width="7.54296875" style="12" bestFit="1" customWidth="1"/>
    <col min="4108" max="4108" width="1.7265625" style="12" customWidth="1"/>
    <col min="4109" max="4109" width="2.453125" style="12" customWidth="1"/>
    <col min="4110" max="4110" width="8.7265625" style="12"/>
    <col min="4111" max="4112" width="12" style="12" customWidth="1"/>
    <col min="4113" max="4113" width="7.54296875" style="12" bestFit="1" customWidth="1"/>
    <col min="4114" max="4114" width="2.1796875" style="12" customWidth="1"/>
    <col min="4115" max="4117" width="9.26953125" style="12" bestFit="1" customWidth="1"/>
    <col min="4118" max="4125" width="9.1796875" style="12" customWidth="1"/>
    <col min="4126" max="4126" width="10.1796875" style="12" customWidth="1"/>
    <col min="4127" max="4127" width="5.81640625" style="12" customWidth="1"/>
    <col min="4128" max="4128" width="8.26953125" style="12" customWidth="1"/>
    <col min="4129" max="4129" width="9.7265625" style="12" customWidth="1"/>
    <col min="4130" max="4130" width="8.1796875" style="12" customWidth="1"/>
    <col min="4131" max="4131" width="6.81640625" style="12" customWidth="1"/>
    <col min="4132" max="4132" width="7.7265625" style="12" customWidth="1"/>
    <col min="4133" max="4139" width="9.1796875" style="12" customWidth="1"/>
    <col min="4140" max="4349" width="8.7265625" style="12"/>
    <col min="4350" max="4351" width="8.81640625" style="12" customWidth="1"/>
    <col min="4352" max="4353" width="0.81640625" style="12" customWidth="1"/>
    <col min="4354" max="4354" width="3.81640625" style="12" customWidth="1"/>
    <col min="4355" max="4355" width="12.1796875" style="12" bestFit="1" customWidth="1"/>
    <col min="4356" max="4356" width="12" style="12" bestFit="1" customWidth="1"/>
    <col min="4357" max="4357" width="30.26953125" style="12" customWidth="1"/>
    <col min="4358" max="4358" width="5.453125" style="12" customWidth="1"/>
    <col min="4359" max="4359" width="2.453125" style="12" customWidth="1"/>
    <col min="4360" max="4360" width="8.7265625" style="12"/>
    <col min="4361" max="4361" width="12" style="12" customWidth="1"/>
    <col min="4362" max="4362" width="12" style="12" bestFit="1" customWidth="1"/>
    <col min="4363" max="4363" width="7.54296875" style="12" bestFit="1" customWidth="1"/>
    <col min="4364" max="4364" width="1.7265625" style="12" customWidth="1"/>
    <col min="4365" max="4365" width="2.453125" style="12" customWidth="1"/>
    <col min="4366" max="4366" width="8.7265625" style="12"/>
    <col min="4367" max="4368" width="12" style="12" customWidth="1"/>
    <col min="4369" max="4369" width="7.54296875" style="12" bestFit="1" customWidth="1"/>
    <col min="4370" max="4370" width="2.1796875" style="12" customWidth="1"/>
    <col min="4371" max="4373" width="9.26953125" style="12" bestFit="1" customWidth="1"/>
    <col min="4374" max="4381" width="9.1796875" style="12" customWidth="1"/>
    <col min="4382" max="4382" width="10.1796875" style="12" customWidth="1"/>
    <col min="4383" max="4383" width="5.81640625" style="12" customWidth="1"/>
    <col min="4384" max="4384" width="8.26953125" style="12" customWidth="1"/>
    <col min="4385" max="4385" width="9.7265625" style="12" customWidth="1"/>
    <col min="4386" max="4386" width="8.1796875" style="12" customWidth="1"/>
    <col min="4387" max="4387" width="6.81640625" style="12" customWidth="1"/>
    <col min="4388" max="4388" width="7.7265625" style="12" customWidth="1"/>
    <col min="4389" max="4395" width="9.1796875" style="12" customWidth="1"/>
    <col min="4396" max="4605" width="8.7265625" style="12"/>
    <col min="4606" max="4607" width="8.81640625" style="12" customWidth="1"/>
    <col min="4608" max="4609" width="0.81640625" style="12" customWidth="1"/>
    <col min="4610" max="4610" width="3.81640625" style="12" customWidth="1"/>
    <col min="4611" max="4611" width="12.1796875" style="12" bestFit="1" customWidth="1"/>
    <col min="4612" max="4612" width="12" style="12" bestFit="1" customWidth="1"/>
    <col min="4613" max="4613" width="30.26953125" style="12" customWidth="1"/>
    <col min="4614" max="4614" width="5.453125" style="12" customWidth="1"/>
    <col min="4615" max="4615" width="2.453125" style="12" customWidth="1"/>
    <col min="4616" max="4616" width="8.7265625" style="12"/>
    <col min="4617" max="4617" width="12" style="12" customWidth="1"/>
    <col min="4618" max="4618" width="12" style="12" bestFit="1" customWidth="1"/>
    <col min="4619" max="4619" width="7.54296875" style="12" bestFit="1" customWidth="1"/>
    <col min="4620" max="4620" width="1.7265625" style="12" customWidth="1"/>
    <col min="4621" max="4621" width="2.453125" style="12" customWidth="1"/>
    <col min="4622" max="4622" width="8.7265625" style="12"/>
    <col min="4623" max="4624" width="12" style="12" customWidth="1"/>
    <col min="4625" max="4625" width="7.54296875" style="12" bestFit="1" customWidth="1"/>
    <col min="4626" max="4626" width="2.1796875" style="12" customWidth="1"/>
    <col min="4627" max="4629" width="9.26953125" style="12" bestFit="1" customWidth="1"/>
    <col min="4630" max="4637" width="9.1796875" style="12" customWidth="1"/>
    <col min="4638" max="4638" width="10.1796875" style="12" customWidth="1"/>
    <col min="4639" max="4639" width="5.81640625" style="12" customWidth="1"/>
    <col min="4640" max="4640" width="8.26953125" style="12" customWidth="1"/>
    <col min="4641" max="4641" width="9.7265625" style="12" customWidth="1"/>
    <col min="4642" max="4642" width="8.1796875" style="12" customWidth="1"/>
    <col min="4643" max="4643" width="6.81640625" style="12" customWidth="1"/>
    <col min="4644" max="4644" width="7.7265625" style="12" customWidth="1"/>
    <col min="4645" max="4651" width="9.1796875" style="12" customWidth="1"/>
    <col min="4652" max="4861" width="8.7265625" style="12"/>
    <col min="4862" max="4863" width="8.81640625" style="12" customWidth="1"/>
    <col min="4864" max="4865" width="0.81640625" style="12" customWidth="1"/>
    <col min="4866" max="4866" width="3.81640625" style="12" customWidth="1"/>
    <col min="4867" max="4867" width="12.1796875" style="12" bestFit="1" customWidth="1"/>
    <col min="4868" max="4868" width="12" style="12" bestFit="1" customWidth="1"/>
    <col min="4869" max="4869" width="30.26953125" style="12" customWidth="1"/>
    <col min="4870" max="4870" width="5.453125" style="12" customWidth="1"/>
    <col min="4871" max="4871" width="2.453125" style="12" customWidth="1"/>
    <col min="4872" max="4872" width="8.7265625" style="12"/>
    <col min="4873" max="4873" width="12" style="12" customWidth="1"/>
    <col min="4874" max="4874" width="12" style="12" bestFit="1" customWidth="1"/>
    <col min="4875" max="4875" width="7.54296875" style="12" bestFit="1" customWidth="1"/>
    <col min="4876" max="4876" width="1.7265625" style="12" customWidth="1"/>
    <col min="4877" max="4877" width="2.453125" style="12" customWidth="1"/>
    <col min="4878" max="4878" width="8.7265625" style="12"/>
    <col min="4879" max="4880" width="12" style="12" customWidth="1"/>
    <col min="4881" max="4881" width="7.54296875" style="12" bestFit="1" customWidth="1"/>
    <col min="4882" max="4882" width="2.1796875" style="12" customWidth="1"/>
    <col min="4883" max="4885" width="9.26953125" style="12" bestFit="1" customWidth="1"/>
    <col min="4886" max="4893" width="9.1796875" style="12" customWidth="1"/>
    <col min="4894" max="4894" width="10.1796875" style="12" customWidth="1"/>
    <col min="4895" max="4895" width="5.81640625" style="12" customWidth="1"/>
    <col min="4896" max="4896" width="8.26953125" style="12" customWidth="1"/>
    <col min="4897" max="4897" width="9.7265625" style="12" customWidth="1"/>
    <col min="4898" max="4898" width="8.1796875" style="12" customWidth="1"/>
    <col min="4899" max="4899" width="6.81640625" style="12" customWidth="1"/>
    <col min="4900" max="4900" width="7.7265625" style="12" customWidth="1"/>
    <col min="4901" max="4907" width="9.1796875" style="12" customWidth="1"/>
    <col min="4908" max="5117" width="8.7265625" style="12"/>
    <col min="5118" max="5119" width="8.81640625" style="12" customWidth="1"/>
    <col min="5120" max="5121" width="0.81640625" style="12" customWidth="1"/>
    <col min="5122" max="5122" width="3.81640625" style="12" customWidth="1"/>
    <col min="5123" max="5123" width="12.1796875" style="12" bestFit="1" customWidth="1"/>
    <col min="5124" max="5124" width="12" style="12" bestFit="1" customWidth="1"/>
    <col min="5125" max="5125" width="30.26953125" style="12" customWidth="1"/>
    <col min="5126" max="5126" width="5.453125" style="12" customWidth="1"/>
    <col min="5127" max="5127" width="2.453125" style="12" customWidth="1"/>
    <col min="5128" max="5128" width="8.7265625" style="12"/>
    <col min="5129" max="5129" width="12" style="12" customWidth="1"/>
    <col min="5130" max="5130" width="12" style="12" bestFit="1" customWidth="1"/>
    <col min="5131" max="5131" width="7.54296875" style="12" bestFit="1" customWidth="1"/>
    <col min="5132" max="5132" width="1.7265625" style="12" customWidth="1"/>
    <col min="5133" max="5133" width="2.453125" style="12" customWidth="1"/>
    <col min="5134" max="5134" width="8.7265625" style="12"/>
    <col min="5135" max="5136" width="12" style="12" customWidth="1"/>
    <col min="5137" max="5137" width="7.54296875" style="12" bestFit="1" customWidth="1"/>
    <col min="5138" max="5138" width="2.1796875" style="12" customWidth="1"/>
    <col min="5139" max="5141" width="9.26953125" style="12" bestFit="1" customWidth="1"/>
    <col min="5142" max="5149" width="9.1796875" style="12" customWidth="1"/>
    <col min="5150" max="5150" width="10.1796875" style="12" customWidth="1"/>
    <col min="5151" max="5151" width="5.81640625" style="12" customWidth="1"/>
    <col min="5152" max="5152" width="8.26953125" style="12" customWidth="1"/>
    <col min="5153" max="5153" width="9.7265625" style="12" customWidth="1"/>
    <col min="5154" max="5154" width="8.1796875" style="12" customWidth="1"/>
    <col min="5155" max="5155" width="6.81640625" style="12" customWidth="1"/>
    <col min="5156" max="5156" width="7.7265625" style="12" customWidth="1"/>
    <col min="5157" max="5163" width="9.1796875" style="12" customWidth="1"/>
    <col min="5164" max="5373" width="8.7265625" style="12"/>
    <col min="5374" max="5375" width="8.81640625" style="12" customWidth="1"/>
    <col min="5376" max="5377" width="0.81640625" style="12" customWidth="1"/>
    <col min="5378" max="5378" width="3.81640625" style="12" customWidth="1"/>
    <col min="5379" max="5379" width="12.1796875" style="12" bestFit="1" customWidth="1"/>
    <col min="5380" max="5380" width="12" style="12" bestFit="1" customWidth="1"/>
    <col min="5381" max="5381" width="30.26953125" style="12" customWidth="1"/>
    <col min="5382" max="5382" width="5.453125" style="12" customWidth="1"/>
    <col min="5383" max="5383" width="2.453125" style="12" customWidth="1"/>
    <col min="5384" max="5384" width="8.7265625" style="12"/>
    <col min="5385" max="5385" width="12" style="12" customWidth="1"/>
    <col min="5386" max="5386" width="12" style="12" bestFit="1" customWidth="1"/>
    <col min="5387" max="5387" width="7.54296875" style="12" bestFit="1" customWidth="1"/>
    <col min="5388" max="5388" width="1.7265625" style="12" customWidth="1"/>
    <col min="5389" max="5389" width="2.453125" style="12" customWidth="1"/>
    <col min="5390" max="5390" width="8.7265625" style="12"/>
    <col min="5391" max="5392" width="12" style="12" customWidth="1"/>
    <col min="5393" max="5393" width="7.54296875" style="12" bestFit="1" customWidth="1"/>
    <col min="5394" max="5394" width="2.1796875" style="12" customWidth="1"/>
    <col min="5395" max="5397" width="9.26953125" style="12" bestFit="1" customWidth="1"/>
    <col min="5398" max="5405" width="9.1796875" style="12" customWidth="1"/>
    <col min="5406" max="5406" width="10.1796875" style="12" customWidth="1"/>
    <col min="5407" max="5407" width="5.81640625" style="12" customWidth="1"/>
    <col min="5408" max="5408" width="8.26953125" style="12" customWidth="1"/>
    <col min="5409" max="5409" width="9.7265625" style="12" customWidth="1"/>
    <col min="5410" max="5410" width="8.1796875" style="12" customWidth="1"/>
    <col min="5411" max="5411" width="6.81640625" style="12" customWidth="1"/>
    <col min="5412" max="5412" width="7.7265625" style="12" customWidth="1"/>
    <col min="5413" max="5419" width="9.1796875" style="12" customWidth="1"/>
    <col min="5420" max="5629" width="8.7265625" style="12"/>
    <col min="5630" max="5631" width="8.81640625" style="12" customWidth="1"/>
    <col min="5632" max="5633" width="0.81640625" style="12" customWidth="1"/>
    <col min="5634" max="5634" width="3.81640625" style="12" customWidth="1"/>
    <col min="5635" max="5635" width="12.1796875" style="12" bestFit="1" customWidth="1"/>
    <col min="5636" max="5636" width="12" style="12" bestFit="1" customWidth="1"/>
    <col min="5637" max="5637" width="30.26953125" style="12" customWidth="1"/>
    <col min="5638" max="5638" width="5.453125" style="12" customWidth="1"/>
    <col min="5639" max="5639" width="2.453125" style="12" customWidth="1"/>
    <col min="5640" max="5640" width="8.7265625" style="12"/>
    <col min="5641" max="5641" width="12" style="12" customWidth="1"/>
    <col min="5642" max="5642" width="12" style="12" bestFit="1" customWidth="1"/>
    <col min="5643" max="5643" width="7.54296875" style="12" bestFit="1" customWidth="1"/>
    <col min="5644" max="5644" width="1.7265625" style="12" customWidth="1"/>
    <col min="5645" max="5645" width="2.453125" style="12" customWidth="1"/>
    <col min="5646" max="5646" width="8.7265625" style="12"/>
    <col min="5647" max="5648" width="12" style="12" customWidth="1"/>
    <col min="5649" max="5649" width="7.54296875" style="12" bestFit="1" customWidth="1"/>
    <col min="5650" max="5650" width="2.1796875" style="12" customWidth="1"/>
    <col min="5651" max="5653" width="9.26953125" style="12" bestFit="1" customWidth="1"/>
    <col min="5654" max="5661" width="9.1796875" style="12" customWidth="1"/>
    <col min="5662" max="5662" width="10.1796875" style="12" customWidth="1"/>
    <col min="5663" max="5663" width="5.81640625" style="12" customWidth="1"/>
    <col min="5664" max="5664" width="8.26953125" style="12" customWidth="1"/>
    <col min="5665" max="5665" width="9.7265625" style="12" customWidth="1"/>
    <col min="5666" max="5666" width="8.1796875" style="12" customWidth="1"/>
    <col min="5667" max="5667" width="6.81640625" style="12" customWidth="1"/>
    <col min="5668" max="5668" width="7.7265625" style="12" customWidth="1"/>
    <col min="5669" max="5675" width="9.1796875" style="12" customWidth="1"/>
    <col min="5676" max="5885" width="8.7265625" style="12"/>
    <col min="5886" max="5887" width="8.81640625" style="12" customWidth="1"/>
    <col min="5888" max="5889" width="0.81640625" style="12" customWidth="1"/>
    <col min="5890" max="5890" width="3.81640625" style="12" customWidth="1"/>
    <col min="5891" max="5891" width="12.1796875" style="12" bestFit="1" customWidth="1"/>
    <col min="5892" max="5892" width="12" style="12" bestFit="1" customWidth="1"/>
    <col min="5893" max="5893" width="30.26953125" style="12" customWidth="1"/>
    <col min="5894" max="5894" width="5.453125" style="12" customWidth="1"/>
    <col min="5895" max="5895" width="2.453125" style="12" customWidth="1"/>
    <col min="5896" max="5896" width="8.7265625" style="12"/>
    <col min="5897" max="5897" width="12" style="12" customWidth="1"/>
    <col min="5898" max="5898" width="12" style="12" bestFit="1" customWidth="1"/>
    <col min="5899" max="5899" width="7.54296875" style="12" bestFit="1" customWidth="1"/>
    <col min="5900" max="5900" width="1.7265625" style="12" customWidth="1"/>
    <col min="5901" max="5901" width="2.453125" style="12" customWidth="1"/>
    <col min="5902" max="5902" width="8.7265625" style="12"/>
    <col min="5903" max="5904" width="12" style="12" customWidth="1"/>
    <col min="5905" max="5905" width="7.54296875" style="12" bestFit="1" customWidth="1"/>
    <col min="5906" max="5906" width="2.1796875" style="12" customWidth="1"/>
    <col min="5907" max="5909" width="9.26953125" style="12" bestFit="1" customWidth="1"/>
    <col min="5910" max="5917" width="9.1796875" style="12" customWidth="1"/>
    <col min="5918" max="5918" width="10.1796875" style="12" customWidth="1"/>
    <col min="5919" max="5919" width="5.81640625" style="12" customWidth="1"/>
    <col min="5920" max="5920" width="8.26953125" style="12" customWidth="1"/>
    <col min="5921" max="5921" width="9.7265625" style="12" customWidth="1"/>
    <col min="5922" max="5922" width="8.1796875" style="12" customWidth="1"/>
    <col min="5923" max="5923" width="6.81640625" style="12" customWidth="1"/>
    <col min="5924" max="5924" width="7.7265625" style="12" customWidth="1"/>
    <col min="5925" max="5931" width="9.1796875" style="12" customWidth="1"/>
    <col min="5932" max="6141" width="8.7265625" style="12"/>
    <col min="6142" max="6143" width="8.81640625" style="12" customWidth="1"/>
    <col min="6144" max="6145" width="0.81640625" style="12" customWidth="1"/>
    <col min="6146" max="6146" width="3.81640625" style="12" customWidth="1"/>
    <col min="6147" max="6147" width="12.1796875" style="12" bestFit="1" customWidth="1"/>
    <col min="6148" max="6148" width="12" style="12" bestFit="1" customWidth="1"/>
    <col min="6149" max="6149" width="30.26953125" style="12" customWidth="1"/>
    <col min="6150" max="6150" width="5.453125" style="12" customWidth="1"/>
    <col min="6151" max="6151" width="2.453125" style="12" customWidth="1"/>
    <col min="6152" max="6152" width="8.7265625" style="12"/>
    <col min="6153" max="6153" width="12" style="12" customWidth="1"/>
    <col min="6154" max="6154" width="12" style="12" bestFit="1" customWidth="1"/>
    <col min="6155" max="6155" width="7.54296875" style="12" bestFit="1" customWidth="1"/>
    <col min="6156" max="6156" width="1.7265625" style="12" customWidth="1"/>
    <col min="6157" max="6157" width="2.453125" style="12" customWidth="1"/>
    <col min="6158" max="6158" width="8.7265625" style="12"/>
    <col min="6159" max="6160" width="12" style="12" customWidth="1"/>
    <col min="6161" max="6161" width="7.54296875" style="12" bestFit="1" customWidth="1"/>
    <col min="6162" max="6162" width="2.1796875" style="12" customWidth="1"/>
    <col min="6163" max="6165" width="9.26953125" style="12" bestFit="1" customWidth="1"/>
    <col min="6166" max="6173" width="9.1796875" style="12" customWidth="1"/>
    <col min="6174" max="6174" width="10.1796875" style="12" customWidth="1"/>
    <col min="6175" max="6175" width="5.81640625" style="12" customWidth="1"/>
    <col min="6176" max="6176" width="8.26953125" style="12" customWidth="1"/>
    <col min="6177" max="6177" width="9.7265625" style="12" customWidth="1"/>
    <col min="6178" max="6178" width="8.1796875" style="12" customWidth="1"/>
    <col min="6179" max="6179" width="6.81640625" style="12" customWidth="1"/>
    <col min="6180" max="6180" width="7.7265625" style="12" customWidth="1"/>
    <col min="6181" max="6187" width="9.1796875" style="12" customWidth="1"/>
    <col min="6188" max="6397" width="8.7265625" style="12"/>
    <col min="6398" max="6399" width="8.81640625" style="12" customWidth="1"/>
    <col min="6400" max="6401" width="0.81640625" style="12" customWidth="1"/>
    <col min="6402" max="6402" width="3.81640625" style="12" customWidth="1"/>
    <col min="6403" max="6403" width="12.1796875" style="12" bestFit="1" customWidth="1"/>
    <col min="6404" max="6404" width="12" style="12" bestFit="1" customWidth="1"/>
    <col min="6405" max="6405" width="30.26953125" style="12" customWidth="1"/>
    <col min="6406" max="6406" width="5.453125" style="12" customWidth="1"/>
    <col min="6407" max="6407" width="2.453125" style="12" customWidth="1"/>
    <col min="6408" max="6408" width="8.7265625" style="12"/>
    <col min="6409" max="6409" width="12" style="12" customWidth="1"/>
    <col min="6410" max="6410" width="12" style="12" bestFit="1" customWidth="1"/>
    <col min="6411" max="6411" width="7.54296875" style="12" bestFit="1" customWidth="1"/>
    <col min="6412" max="6412" width="1.7265625" style="12" customWidth="1"/>
    <col min="6413" max="6413" width="2.453125" style="12" customWidth="1"/>
    <col min="6414" max="6414" width="8.7265625" style="12"/>
    <col min="6415" max="6416" width="12" style="12" customWidth="1"/>
    <col min="6417" max="6417" width="7.54296875" style="12" bestFit="1" customWidth="1"/>
    <col min="6418" max="6418" width="2.1796875" style="12" customWidth="1"/>
    <col min="6419" max="6421" width="9.26953125" style="12" bestFit="1" customWidth="1"/>
    <col min="6422" max="6429" width="9.1796875" style="12" customWidth="1"/>
    <col min="6430" max="6430" width="10.1796875" style="12" customWidth="1"/>
    <col min="6431" max="6431" width="5.81640625" style="12" customWidth="1"/>
    <col min="6432" max="6432" width="8.26953125" style="12" customWidth="1"/>
    <col min="6433" max="6433" width="9.7265625" style="12" customWidth="1"/>
    <col min="6434" max="6434" width="8.1796875" style="12" customWidth="1"/>
    <col min="6435" max="6435" width="6.81640625" style="12" customWidth="1"/>
    <col min="6436" max="6436" width="7.7265625" style="12" customWidth="1"/>
    <col min="6437" max="6443" width="9.1796875" style="12" customWidth="1"/>
    <col min="6444" max="6653" width="8.7265625" style="12"/>
    <col min="6654" max="6655" width="8.81640625" style="12" customWidth="1"/>
    <col min="6656" max="6657" width="0.81640625" style="12" customWidth="1"/>
    <col min="6658" max="6658" width="3.81640625" style="12" customWidth="1"/>
    <col min="6659" max="6659" width="12.1796875" style="12" bestFit="1" customWidth="1"/>
    <col min="6660" max="6660" width="12" style="12" bestFit="1" customWidth="1"/>
    <col min="6661" max="6661" width="30.26953125" style="12" customWidth="1"/>
    <col min="6662" max="6662" width="5.453125" style="12" customWidth="1"/>
    <col min="6663" max="6663" width="2.453125" style="12" customWidth="1"/>
    <col min="6664" max="6664" width="8.7265625" style="12"/>
    <col min="6665" max="6665" width="12" style="12" customWidth="1"/>
    <col min="6666" max="6666" width="12" style="12" bestFit="1" customWidth="1"/>
    <col min="6667" max="6667" width="7.54296875" style="12" bestFit="1" customWidth="1"/>
    <col min="6668" max="6668" width="1.7265625" style="12" customWidth="1"/>
    <col min="6669" max="6669" width="2.453125" style="12" customWidth="1"/>
    <col min="6670" max="6670" width="8.7265625" style="12"/>
    <col min="6671" max="6672" width="12" style="12" customWidth="1"/>
    <col min="6673" max="6673" width="7.54296875" style="12" bestFit="1" customWidth="1"/>
    <col min="6674" max="6674" width="2.1796875" style="12" customWidth="1"/>
    <col min="6675" max="6677" width="9.26953125" style="12" bestFit="1" customWidth="1"/>
    <col min="6678" max="6685" width="9.1796875" style="12" customWidth="1"/>
    <col min="6686" max="6686" width="10.1796875" style="12" customWidth="1"/>
    <col min="6687" max="6687" width="5.81640625" style="12" customWidth="1"/>
    <col min="6688" max="6688" width="8.26953125" style="12" customWidth="1"/>
    <col min="6689" max="6689" width="9.7265625" style="12" customWidth="1"/>
    <col min="6690" max="6690" width="8.1796875" style="12" customWidth="1"/>
    <col min="6691" max="6691" width="6.81640625" style="12" customWidth="1"/>
    <col min="6692" max="6692" width="7.7265625" style="12" customWidth="1"/>
    <col min="6693" max="6699" width="9.1796875" style="12" customWidth="1"/>
    <col min="6700" max="6909" width="8.7265625" style="12"/>
    <col min="6910" max="6911" width="8.81640625" style="12" customWidth="1"/>
    <col min="6912" max="6913" width="0.81640625" style="12" customWidth="1"/>
    <col min="6914" max="6914" width="3.81640625" style="12" customWidth="1"/>
    <col min="6915" max="6915" width="12.1796875" style="12" bestFit="1" customWidth="1"/>
    <col min="6916" max="6916" width="12" style="12" bestFit="1" customWidth="1"/>
    <col min="6917" max="6917" width="30.26953125" style="12" customWidth="1"/>
    <col min="6918" max="6918" width="5.453125" style="12" customWidth="1"/>
    <col min="6919" max="6919" width="2.453125" style="12" customWidth="1"/>
    <col min="6920" max="6920" width="8.7265625" style="12"/>
    <col min="6921" max="6921" width="12" style="12" customWidth="1"/>
    <col min="6922" max="6922" width="12" style="12" bestFit="1" customWidth="1"/>
    <col min="6923" max="6923" width="7.54296875" style="12" bestFit="1" customWidth="1"/>
    <col min="6924" max="6924" width="1.7265625" style="12" customWidth="1"/>
    <col min="6925" max="6925" width="2.453125" style="12" customWidth="1"/>
    <col min="6926" max="6926" width="8.7265625" style="12"/>
    <col min="6927" max="6928" width="12" style="12" customWidth="1"/>
    <col min="6929" max="6929" width="7.54296875" style="12" bestFit="1" customWidth="1"/>
    <col min="6930" max="6930" width="2.1796875" style="12" customWidth="1"/>
    <col min="6931" max="6933" width="9.26953125" style="12" bestFit="1" customWidth="1"/>
    <col min="6934" max="6941" width="9.1796875" style="12" customWidth="1"/>
    <col min="6942" max="6942" width="10.1796875" style="12" customWidth="1"/>
    <col min="6943" max="6943" width="5.81640625" style="12" customWidth="1"/>
    <col min="6944" max="6944" width="8.26953125" style="12" customWidth="1"/>
    <col min="6945" max="6945" width="9.7265625" style="12" customWidth="1"/>
    <col min="6946" max="6946" width="8.1796875" style="12" customWidth="1"/>
    <col min="6947" max="6947" width="6.81640625" style="12" customWidth="1"/>
    <col min="6948" max="6948" width="7.7265625" style="12" customWidth="1"/>
    <col min="6949" max="6955" width="9.1796875" style="12" customWidth="1"/>
    <col min="6956" max="7165" width="8.7265625" style="12"/>
    <col min="7166" max="7167" width="8.81640625" style="12" customWidth="1"/>
    <col min="7168" max="7169" width="0.81640625" style="12" customWidth="1"/>
    <col min="7170" max="7170" width="3.81640625" style="12" customWidth="1"/>
    <col min="7171" max="7171" width="12.1796875" style="12" bestFit="1" customWidth="1"/>
    <col min="7172" max="7172" width="12" style="12" bestFit="1" customWidth="1"/>
    <col min="7173" max="7173" width="30.26953125" style="12" customWidth="1"/>
    <col min="7174" max="7174" width="5.453125" style="12" customWidth="1"/>
    <col min="7175" max="7175" width="2.453125" style="12" customWidth="1"/>
    <col min="7176" max="7176" width="8.7265625" style="12"/>
    <col min="7177" max="7177" width="12" style="12" customWidth="1"/>
    <col min="7178" max="7178" width="12" style="12" bestFit="1" customWidth="1"/>
    <col min="7179" max="7179" width="7.54296875" style="12" bestFit="1" customWidth="1"/>
    <col min="7180" max="7180" width="1.7265625" style="12" customWidth="1"/>
    <col min="7181" max="7181" width="2.453125" style="12" customWidth="1"/>
    <col min="7182" max="7182" width="8.7265625" style="12"/>
    <col min="7183" max="7184" width="12" style="12" customWidth="1"/>
    <col min="7185" max="7185" width="7.54296875" style="12" bestFit="1" customWidth="1"/>
    <col min="7186" max="7186" width="2.1796875" style="12" customWidth="1"/>
    <col min="7187" max="7189" width="9.26953125" style="12" bestFit="1" customWidth="1"/>
    <col min="7190" max="7197" width="9.1796875" style="12" customWidth="1"/>
    <col min="7198" max="7198" width="10.1796875" style="12" customWidth="1"/>
    <col min="7199" max="7199" width="5.81640625" style="12" customWidth="1"/>
    <col min="7200" max="7200" width="8.26953125" style="12" customWidth="1"/>
    <col min="7201" max="7201" width="9.7265625" style="12" customWidth="1"/>
    <col min="7202" max="7202" width="8.1796875" style="12" customWidth="1"/>
    <col min="7203" max="7203" width="6.81640625" style="12" customWidth="1"/>
    <col min="7204" max="7204" width="7.7265625" style="12" customWidth="1"/>
    <col min="7205" max="7211" width="9.1796875" style="12" customWidth="1"/>
    <col min="7212" max="7421" width="8.7265625" style="12"/>
    <col min="7422" max="7423" width="8.81640625" style="12" customWidth="1"/>
    <col min="7424" max="7425" width="0.81640625" style="12" customWidth="1"/>
    <col min="7426" max="7426" width="3.81640625" style="12" customWidth="1"/>
    <col min="7427" max="7427" width="12.1796875" style="12" bestFit="1" customWidth="1"/>
    <col min="7428" max="7428" width="12" style="12" bestFit="1" customWidth="1"/>
    <col min="7429" max="7429" width="30.26953125" style="12" customWidth="1"/>
    <col min="7430" max="7430" width="5.453125" style="12" customWidth="1"/>
    <col min="7431" max="7431" width="2.453125" style="12" customWidth="1"/>
    <col min="7432" max="7432" width="8.7265625" style="12"/>
    <col min="7433" max="7433" width="12" style="12" customWidth="1"/>
    <col min="7434" max="7434" width="12" style="12" bestFit="1" customWidth="1"/>
    <col min="7435" max="7435" width="7.54296875" style="12" bestFit="1" customWidth="1"/>
    <col min="7436" max="7436" width="1.7265625" style="12" customWidth="1"/>
    <col min="7437" max="7437" width="2.453125" style="12" customWidth="1"/>
    <col min="7438" max="7438" width="8.7265625" style="12"/>
    <col min="7439" max="7440" width="12" style="12" customWidth="1"/>
    <col min="7441" max="7441" width="7.54296875" style="12" bestFit="1" customWidth="1"/>
    <col min="7442" max="7442" width="2.1796875" style="12" customWidth="1"/>
    <col min="7443" max="7445" width="9.26953125" style="12" bestFit="1" customWidth="1"/>
    <col min="7446" max="7453" width="9.1796875" style="12" customWidth="1"/>
    <col min="7454" max="7454" width="10.1796875" style="12" customWidth="1"/>
    <col min="7455" max="7455" width="5.81640625" style="12" customWidth="1"/>
    <col min="7456" max="7456" width="8.26953125" style="12" customWidth="1"/>
    <col min="7457" max="7457" width="9.7265625" style="12" customWidth="1"/>
    <col min="7458" max="7458" width="8.1796875" style="12" customWidth="1"/>
    <col min="7459" max="7459" width="6.81640625" style="12" customWidth="1"/>
    <col min="7460" max="7460" width="7.7265625" style="12" customWidth="1"/>
    <col min="7461" max="7467" width="9.1796875" style="12" customWidth="1"/>
    <col min="7468" max="7677" width="8.7265625" style="12"/>
    <col min="7678" max="7679" width="8.81640625" style="12" customWidth="1"/>
    <col min="7680" max="7681" width="0.81640625" style="12" customWidth="1"/>
    <col min="7682" max="7682" width="3.81640625" style="12" customWidth="1"/>
    <col min="7683" max="7683" width="12.1796875" style="12" bestFit="1" customWidth="1"/>
    <col min="7684" max="7684" width="12" style="12" bestFit="1" customWidth="1"/>
    <col min="7685" max="7685" width="30.26953125" style="12" customWidth="1"/>
    <col min="7686" max="7686" width="5.453125" style="12" customWidth="1"/>
    <col min="7687" max="7687" width="2.453125" style="12" customWidth="1"/>
    <col min="7688" max="7688" width="8.7265625" style="12"/>
    <col min="7689" max="7689" width="12" style="12" customWidth="1"/>
    <col min="7690" max="7690" width="12" style="12" bestFit="1" customWidth="1"/>
    <col min="7691" max="7691" width="7.54296875" style="12" bestFit="1" customWidth="1"/>
    <col min="7692" max="7692" width="1.7265625" style="12" customWidth="1"/>
    <col min="7693" max="7693" width="2.453125" style="12" customWidth="1"/>
    <col min="7694" max="7694" width="8.7265625" style="12"/>
    <col min="7695" max="7696" width="12" style="12" customWidth="1"/>
    <col min="7697" max="7697" width="7.54296875" style="12" bestFit="1" customWidth="1"/>
    <col min="7698" max="7698" width="2.1796875" style="12" customWidth="1"/>
    <col min="7699" max="7701" width="9.26953125" style="12" bestFit="1" customWidth="1"/>
    <col min="7702" max="7709" width="9.1796875" style="12" customWidth="1"/>
    <col min="7710" max="7710" width="10.1796875" style="12" customWidth="1"/>
    <col min="7711" max="7711" width="5.81640625" style="12" customWidth="1"/>
    <col min="7712" max="7712" width="8.26953125" style="12" customWidth="1"/>
    <col min="7713" max="7713" width="9.7265625" style="12" customWidth="1"/>
    <col min="7714" max="7714" width="8.1796875" style="12" customWidth="1"/>
    <col min="7715" max="7715" width="6.81640625" style="12" customWidth="1"/>
    <col min="7716" max="7716" width="7.7265625" style="12" customWidth="1"/>
    <col min="7717" max="7723" width="9.1796875" style="12" customWidth="1"/>
    <col min="7724" max="7933" width="8.7265625" style="12"/>
    <col min="7934" max="7935" width="8.81640625" style="12" customWidth="1"/>
    <col min="7936" max="7937" width="0.81640625" style="12" customWidth="1"/>
    <col min="7938" max="7938" width="3.81640625" style="12" customWidth="1"/>
    <col min="7939" max="7939" width="12.1796875" style="12" bestFit="1" customWidth="1"/>
    <col min="7940" max="7940" width="12" style="12" bestFit="1" customWidth="1"/>
    <col min="7941" max="7941" width="30.26953125" style="12" customWidth="1"/>
    <col min="7942" max="7942" width="5.453125" style="12" customWidth="1"/>
    <col min="7943" max="7943" width="2.453125" style="12" customWidth="1"/>
    <col min="7944" max="7944" width="8.7265625" style="12"/>
    <col min="7945" max="7945" width="12" style="12" customWidth="1"/>
    <col min="7946" max="7946" width="12" style="12" bestFit="1" customWidth="1"/>
    <col min="7947" max="7947" width="7.54296875" style="12" bestFit="1" customWidth="1"/>
    <col min="7948" max="7948" width="1.7265625" style="12" customWidth="1"/>
    <col min="7949" max="7949" width="2.453125" style="12" customWidth="1"/>
    <col min="7950" max="7950" width="8.7265625" style="12"/>
    <col min="7951" max="7952" width="12" style="12" customWidth="1"/>
    <col min="7953" max="7953" width="7.54296875" style="12" bestFit="1" customWidth="1"/>
    <col min="7954" max="7954" width="2.1796875" style="12" customWidth="1"/>
    <col min="7955" max="7957" width="9.26953125" style="12" bestFit="1" customWidth="1"/>
    <col min="7958" max="7965" width="9.1796875" style="12" customWidth="1"/>
    <col min="7966" max="7966" width="10.1796875" style="12" customWidth="1"/>
    <col min="7967" max="7967" width="5.81640625" style="12" customWidth="1"/>
    <col min="7968" max="7968" width="8.26953125" style="12" customWidth="1"/>
    <col min="7969" max="7969" width="9.7265625" style="12" customWidth="1"/>
    <col min="7970" max="7970" width="8.1796875" style="12" customWidth="1"/>
    <col min="7971" max="7971" width="6.81640625" style="12" customWidth="1"/>
    <col min="7972" max="7972" width="7.7265625" style="12" customWidth="1"/>
    <col min="7973" max="7979" width="9.1796875" style="12" customWidth="1"/>
    <col min="7980" max="8189" width="8.7265625" style="12"/>
    <col min="8190" max="8191" width="8.81640625" style="12" customWidth="1"/>
    <col min="8192" max="8193" width="0.81640625" style="12" customWidth="1"/>
    <col min="8194" max="8194" width="3.81640625" style="12" customWidth="1"/>
    <col min="8195" max="8195" width="12.1796875" style="12" bestFit="1" customWidth="1"/>
    <col min="8196" max="8196" width="12" style="12" bestFit="1" customWidth="1"/>
    <col min="8197" max="8197" width="30.26953125" style="12" customWidth="1"/>
    <col min="8198" max="8198" width="5.453125" style="12" customWidth="1"/>
    <col min="8199" max="8199" width="2.453125" style="12" customWidth="1"/>
    <col min="8200" max="8200" width="8.7265625" style="12"/>
    <col min="8201" max="8201" width="12" style="12" customWidth="1"/>
    <col min="8202" max="8202" width="12" style="12" bestFit="1" customWidth="1"/>
    <col min="8203" max="8203" width="7.54296875" style="12" bestFit="1" customWidth="1"/>
    <col min="8204" max="8204" width="1.7265625" style="12" customWidth="1"/>
    <col min="8205" max="8205" width="2.453125" style="12" customWidth="1"/>
    <col min="8206" max="8206" width="8.7265625" style="12"/>
    <col min="8207" max="8208" width="12" style="12" customWidth="1"/>
    <col min="8209" max="8209" width="7.54296875" style="12" bestFit="1" customWidth="1"/>
    <col min="8210" max="8210" width="2.1796875" style="12" customWidth="1"/>
    <col min="8211" max="8213" width="9.26953125" style="12" bestFit="1" customWidth="1"/>
    <col min="8214" max="8221" width="9.1796875" style="12" customWidth="1"/>
    <col min="8222" max="8222" width="10.1796875" style="12" customWidth="1"/>
    <col min="8223" max="8223" width="5.81640625" style="12" customWidth="1"/>
    <col min="8224" max="8224" width="8.26953125" style="12" customWidth="1"/>
    <col min="8225" max="8225" width="9.7265625" style="12" customWidth="1"/>
    <col min="8226" max="8226" width="8.1796875" style="12" customWidth="1"/>
    <col min="8227" max="8227" width="6.81640625" style="12" customWidth="1"/>
    <col min="8228" max="8228" width="7.7265625" style="12" customWidth="1"/>
    <col min="8229" max="8235" width="9.1796875" style="12" customWidth="1"/>
    <col min="8236" max="8445" width="8.7265625" style="12"/>
    <col min="8446" max="8447" width="8.81640625" style="12" customWidth="1"/>
    <col min="8448" max="8449" width="0.81640625" style="12" customWidth="1"/>
    <col min="8450" max="8450" width="3.81640625" style="12" customWidth="1"/>
    <col min="8451" max="8451" width="12.1796875" style="12" bestFit="1" customWidth="1"/>
    <col min="8452" max="8452" width="12" style="12" bestFit="1" customWidth="1"/>
    <col min="8453" max="8453" width="30.26953125" style="12" customWidth="1"/>
    <col min="8454" max="8454" width="5.453125" style="12" customWidth="1"/>
    <col min="8455" max="8455" width="2.453125" style="12" customWidth="1"/>
    <col min="8456" max="8456" width="8.7265625" style="12"/>
    <col min="8457" max="8457" width="12" style="12" customWidth="1"/>
    <col min="8458" max="8458" width="12" style="12" bestFit="1" customWidth="1"/>
    <col min="8459" max="8459" width="7.54296875" style="12" bestFit="1" customWidth="1"/>
    <col min="8460" max="8460" width="1.7265625" style="12" customWidth="1"/>
    <col min="8461" max="8461" width="2.453125" style="12" customWidth="1"/>
    <col min="8462" max="8462" width="8.7265625" style="12"/>
    <col min="8463" max="8464" width="12" style="12" customWidth="1"/>
    <col min="8465" max="8465" width="7.54296875" style="12" bestFit="1" customWidth="1"/>
    <col min="8466" max="8466" width="2.1796875" style="12" customWidth="1"/>
    <col min="8467" max="8469" width="9.26953125" style="12" bestFit="1" customWidth="1"/>
    <col min="8470" max="8477" width="9.1796875" style="12" customWidth="1"/>
    <col min="8478" max="8478" width="10.1796875" style="12" customWidth="1"/>
    <col min="8479" max="8479" width="5.81640625" style="12" customWidth="1"/>
    <col min="8480" max="8480" width="8.26953125" style="12" customWidth="1"/>
    <col min="8481" max="8481" width="9.7265625" style="12" customWidth="1"/>
    <col min="8482" max="8482" width="8.1796875" style="12" customWidth="1"/>
    <col min="8483" max="8483" width="6.81640625" style="12" customWidth="1"/>
    <col min="8484" max="8484" width="7.7265625" style="12" customWidth="1"/>
    <col min="8485" max="8491" width="9.1796875" style="12" customWidth="1"/>
    <col min="8492" max="8701" width="8.7265625" style="12"/>
    <col min="8702" max="8703" width="8.81640625" style="12" customWidth="1"/>
    <col min="8704" max="8705" width="0.81640625" style="12" customWidth="1"/>
    <col min="8706" max="8706" width="3.81640625" style="12" customWidth="1"/>
    <col min="8707" max="8707" width="12.1796875" style="12" bestFit="1" customWidth="1"/>
    <col min="8708" max="8708" width="12" style="12" bestFit="1" customWidth="1"/>
    <col min="8709" max="8709" width="30.26953125" style="12" customWidth="1"/>
    <col min="8710" max="8710" width="5.453125" style="12" customWidth="1"/>
    <col min="8711" max="8711" width="2.453125" style="12" customWidth="1"/>
    <col min="8712" max="8712" width="8.7265625" style="12"/>
    <col min="8713" max="8713" width="12" style="12" customWidth="1"/>
    <col min="8714" max="8714" width="12" style="12" bestFit="1" customWidth="1"/>
    <col min="8715" max="8715" width="7.54296875" style="12" bestFit="1" customWidth="1"/>
    <col min="8716" max="8716" width="1.7265625" style="12" customWidth="1"/>
    <col min="8717" max="8717" width="2.453125" style="12" customWidth="1"/>
    <col min="8718" max="8718" width="8.7265625" style="12"/>
    <col min="8719" max="8720" width="12" style="12" customWidth="1"/>
    <col min="8721" max="8721" width="7.54296875" style="12" bestFit="1" customWidth="1"/>
    <col min="8722" max="8722" width="2.1796875" style="12" customWidth="1"/>
    <col min="8723" max="8725" width="9.26953125" style="12" bestFit="1" customWidth="1"/>
    <col min="8726" max="8733" width="9.1796875" style="12" customWidth="1"/>
    <col min="8734" max="8734" width="10.1796875" style="12" customWidth="1"/>
    <col min="8735" max="8735" width="5.81640625" style="12" customWidth="1"/>
    <col min="8736" max="8736" width="8.26953125" style="12" customWidth="1"/>
    <col min="8737" max="8737" width="9.7265625" style="12" customWidth="1"/>
    <col min="8738" max="8738" width="8.1796875" style="12" customWidth="1"/>
    <col min="8739" max="8739" width="6.81640625" style="12" customWidth="1"/>
    <col min="8740" max="8740" width="7.7265625" style="12" customWidth="1"/>
    <col min="8741" max="8747" width="9.1796875" style="12" customWidth="1"/>
    <col min="8748" max="8957" width="8.7265625" style="12"/>
    <col min="8958" max="8959" width="8.81640625" style="12" customWidth="1"/>
    <col min="8960" max="8961" width="0.81640625" style="12" customWidth="1"/>
    <col min="8962" max="8962" width="3.81640625" style="12" customWidth="1"/>
    <col min="8963" max="8963" width="12.1796875" style="12" bestFit="1" customWidth="1"/>
    <col min="8964" max="8964" width="12" style="12" bestFit="1" customWidth="1"/>
    <col min="8965" max="8965" width="30.26953125" style="12" customWidth="1"/>
    <col min="8966" max="8966" width="5.453125" style="12" customWidth="1"/>
    <col min="8967" max="8967" width="2.453125" style="12" customWidth="1"/>
    <col min="8968" max="8968" width="8.7265625" style="12"/>
    <col min="8969" max="8969" width="12" style="12" customWidth="1"/>
    <col min="8970" max="8970" width="12" style="12" bestFit="1" customWidth="1"/>
    <col min="8971" max="8971" width="7.54296875" style="12" bestFit="1" customWidth="1"/>
    <col min="8972" max="8972" width="1.7265625" style="12" customWidth="1"/>
    <col min="8973" max="8973" width="2.453125" style="12" customWidth="1"/>
    <col min="8974" max="8974" width="8.7265625" style="12"/>
    <col min="8975" max="8976" width="12" style="12" customWidth="1"/>
    <col min="8977" max="8977" width="7.54296875" style="12" bestFit="1" customWidth="1"/>
    <col min="8978" max="8978" width="2.1796875" style="12" customWidth="1"/>
    <col min="8979" max="8981" width="9.26953125" style="12" bestFit="1" customWidth="1"/>
    <col min="8982" max="8989" width="9.1796875" style="12" customWidth="1"/>
    <col min="8990" max="8990" width="10.1796875" style="12" customWidth="1"/>
    <col min="8991" max="8991" width="5.81640625" style="12" customWidth="1"/>
    <col min="8992" max="8992" width="8.26953125" style="12" customWidth="1"/>
    <col min="8993" max="8993" width="9.7265625" style="12" customWidth="1"/>
    <col min="8994" max="8994" width="8.1796875" style="12" customWidth="1"/>
    <col min="8995" max="8995" width="6.81640625" style="12" customWidth="1"/>
    <col min="8996" max="8996" width="7.7265625" style="12" customWidth="1"/>
    <col min="8997" max="9003" width="9.1796875" style="12" customWidth="1"/>
    <col min="9004" max="9213" width="8.7265625" style="12"/>
    <col min="9214" max="9215" width="8.81640625" style="12" customWidth="1"/>
    <col min="9216" max="9217" width="0.81640625" style="12" customWidth="1"/>
    <col min="9218" max="9218" width="3.81640625" style="12" customWidth="1"/>
    <col min="9219" max="9219" width="12.1796875" style="12" bestFit="1" customWidth="1"/>
    <col min="9220" max="9220" width="12" style="12" bestFit="1" customWidth="1"/>
    <col min="9221" max="9221" width="30.26953125" style="12" customWidth="1"/>
    <col min="9222" max="9222" width="5.453125" style="12" customWidth="1"/>
    <col min="9223" max="9223" width="2.453125" style="12" customWidth="1"/>
    <col min="9224" max="9224" width="8.7265625" style="12"/>
    <col min="9225" max="9225" width="12" style="12" customWidth="1"/>
    <col min="9226" max="9226" width="12" style="12" bestFit="1" customWidth="1"/>
    <col min="9227" max="9227" width="7.54296875" style="12" bestFit="1" customWidth="1"/>
    <col min="9228" max="9228" width="1.7265625" style="12" customWidth="1"/>
    <col min="9229" max="9229" width="2.453125" style="12" customWidth="1"/>
    <col min="9230" max="9230" width="8.7265625" style="12"/>
    <col min="9231" max="9232" width="12" style="12" customWidth="1"/>
    <col min="9233" max="9233" width="7.54296875" style="12" bestFit="1" customWidth="1"/>
    <col min="9234" max="9234" width="2.1796875" style="12" customWidth="1"/>
    <col min="9235" max="9237" width="9.26953125" style="12" bestFit="1" customWidth="1"/>
    <col min="9238" max="9245" width="9.1796875" style="12" customWidth="1"/>
    <col min="9246" max="9246" width="10.1796875" style="12" customWidth="1"/>
    <col min="9247" max="9247" width="5.81640625" style="12" customWidth="1"/>
    <col min="9248" max="9248" width="8.26953125" style="12" customWidth="1"/>
    <col min="9249" max="9249" width="9.7265625" style="12" customWidth="1"/>
    <col min="9250" max="9250" width="8.1796875" style="12" customWidth="1"/>
    <col min="9251" max="9251" width="6.81640625" style="12" customWidth="1"/>
    <col min="9252" max="9252" width="7.7265625" style="12" customWidth="1"/>
    <col min="9253" max="9259" width="9.1796875" style="12" customWidth="1"/>
    <col min="9260" max="9469" width="8.7265625" style="12"/>
    <col min="9470" max="9471" width="8.81640625" style="12" customWidth="1"/>
    <col min="9472" max="9473" width="0.81640625" style="12" customWidth="1"/>
    <col min="9474" max="9474" width="3.81640625" style="12" customWidth="1"/>
    <col min="9475" max="9475" width="12.1796875" style="12" bestFit="1" customWidth="1"/>
    <col min="9476" max="9476" width="12" style="12" bestFit="1" customWidth="1"/>
    <col min="9477" max="9477" width="30.26953125" style="12" customWidth="1"/>
    <col min="9478" max="9478" width="5.453125" style="12" customWidth="1"/>
    <col min="9479" max="9479" width="2.453125" style="12" customWidth="1"/>
    <col min="9480" max="9480" width="8.7265625" style="12"/>
    <col min="9481" max="9481" width="12" style="12" customWidth="1"/>
    <col min="9482" max="9482" width="12" style="12" bestFit="1" customWidth="1"/>
    <col min="9483" max="9483" width="7.54296875" style="12" bestFit="1" customWidth="1"/>
    <col min="9484" max="9484" width="1.7265625" style="12" customWidth="1"/>
    <col min="9485" max="9485" width="2.453125" style="12" customWidth="1"/>
    <col min="9486" max="9486" width="8.7265625" style="12"/>
    <col min="9487" max="9488" width="12" style="12" customWidth="1"/>
    <col min="9489" max="9489" width="7.54296875" style="12" bestFit="1" customWidth="1"/>
    <col min="9490" max="9490" width="2.1796875" style="12" customWidth="1"/>
    <col min="9491" max="9493" width="9.26953125" style="12" bestFit="1" customWidth="1"/>
    <col min="9494" max="9501" width="9.1796875" style="12" customWidth="1"/>
    <col min="9502" max="9502" width="10.1796875" style="12" customWidth="1"/>
    <col min="9503" max="9503" width="5.81640625" style="12" customWidth="1"/>
    <col min="9504" max="9504" width="8.26953125" style="12" customWidth="1"/>
    <col min="9505" max="9505" width="9.7265625" style="12" customWidth="1"/>
    <col min="9506" max="9506" width="8.1796875" style="12" customWidth="1"/>
    <col min="9507" max="9507" width="6.81640625" style="12" customWidth="1"/>
    <col min="9508" max="9508" width="7.7265625" style="12" customWidth="1"/>
    <col min="9509" max="9515" width="9.1796875" style="12" customWidth="1"/>
    <col min="9516" max="9725" width="8.7265625" style="12"/>
    <col min="9726" max="9727" width="8.81640625" style="12" customWidth="1"/>
    <col min="9728" max="9729" width="0.81640625" style="12" customWidth="1"/>
    <col min="9730" max="9730" width="3.81640625" style="12" customWidth="1"/>
    <col min="9731" max="9731" width="12.1796875" style="12" bestFit="1" customWidth="1"/>
    <col min="9732" max="9732" width="12" style="12" bestFit="1" customWidth="1"/>
    <col min="9733" max="9733" width="30.26953125" style="12" customWidth="1"/>
    <col min="9734" max="9734" width="5.453125" style="12" customWidth="1"/>
    <col min="9735" max="9735" width="2.453125" style="12" customWidth="1"/>
    <col min="9736" max="9736" width="8.7265625" style="12"/>
    <col min="9737" max="9737" width="12" style="12" customWidth="1"/>
    <col min="9738" max="9738" width="12" style="12" bestFit="1" customWidth="1"/>
    <col min="9739" max="9739" width="7.54296875" style="12" bestFit="1" customWidth="1"/>
    <col min="9740" max="9740" width="1.7265625" style="12" customWidth="1"/>
    <col min="9741" max="9741" width="2.453125" style="12" customWidth="1"/>
    <col min="9742" max="9742" width="8.7265625" style="12"/>
    <col min="9743" max="9744" width="12" style="12" customWidth="1"/>
    <col min="9745" max="9745" width="7.54296875" style="12" bestFit="1" customWidth="1"/>
    <col min="9746" max="9746" width="2.1796875" style="12" customWidth="1"/>
    <col min="9747" max="9749" width="9.26953125" style="12" bestFit="1" customWidth="1"/>
    <col min="9750" max="9757" width="9.1796875" style="12" customWidth="1"/>
    <col min="9758" max="9758" width="10.1796875" style="12" customWidth="1"/>
    <col min="9759" max="9759" width="5.81640625" style="12" customWidth="1"/>
    <col min="9760" max="9760" width="8.26953125" style="12" customWidth="1"/>
    <col min="9761" max="9761" width="9.7265625" style="12" customWidth="1"/>
    <col min="9762" max="9762" width="8.1796875" style="12" customWidth="1"/>
    <col min="9763" max="9763" width="6.81640625" style="12" customWidth="1"/>
    <col min="9764" max="9764" width="7.7265625" style="12" customWidth="1"/>
    <col min="9765" max="9771" width="9.1796875" style="12" customWidth="1"/>
    <col min="9772" max="9981" width="8.7265625" style="12"/>
    <col min="9982" max="9983" width="8.81640625" style="12" customWidth="1"/>
    <col min="9984" max="9985" width="0.81640625" style="12" customWidth="1"/>
    <col min="9986" max="9986" width="3.81640625" style="12" customWidth="1"/>
    <col min="9987" max="9987" width="12.1796875" style="12" bestFit="1" customWidth="1"/>
    <col min="9988" max="9988" width="12" style="12" bestFit="1" customWidth="1"/>
    <col min="9989" max="9989" width="30.26953125" style="12" customWidth="1"/>
    <col min="9990" max="9990" width="5.453125" style="12" customWidth="1"/>
    <col min="9991" max="9991" width="2.453125" style="12" customWidth="1"/>
    <col min="9992" max="9992" width="8.7265625" style="12"/>
    <col min="9993" max="9993" width="12" style="12" customWidth="1"/>
    <col min="9994" max="9994" width="12" style="12" bestFit="1" customWidth="1"/>
    <col min="9995" max="9995" width="7.54296875" style="12" bestFit="1" customWidth="1"/>
    <col min="9996" max="9996" width="1.7265625" style="12" customWidth="1"/>
    <col min="9997" max="9997" width="2.453125" style="12" customWidth="1"/>
    <col min="9998" max="9998" width="8.7265625" style="12"/>
    <col min="9999" max="10000" width="12" style="12" customWidth="1"/>
    <col min="10001" max="10001" width="7.54296875" style="12" bestFit="1" customWidth="1"/>
    <col min="10002" max="10002" width="2.1796875" style="12" customWidth="1"/>
    <col min="10003" max="10005" width="9.26953125" style="12" bestFit="1" customWidth="1"/>
    <col min="10006" max="10013" width="9.1796875" style="12" customWidth="1"/>
    <col min="10014" max="10014" width="10.1796875" style="12" customWidth="1"/>
    <col min="10015" max="10015" width="5.81640625" style="12" customWidth="1"/>
    <col min="10016" max="10016" width="8.26953125" style="12" customWidth="1"/>
    <col min="10017" max="10017" width="9.7265625" style="12" customWidth="1"/>
    <col min="10018" max="10018" width="8.1796875" style="12" customWidth="1"/>
    <col min="10019" max="10019" width="6.81640625" style="12" customWidth="1"/>
    <col min="10020" max="10020" width="7.7265625" style="12" customWidth="1"/>
    <col min="10021" max="10027" width="9.1796875" style="12" customWidth="1"/>
    <col min="10028" max="10237" width="8.7265625" style="12"/>
    <col min="10238" max="10239" width="8.81640625" style="12" customWidth="1"/>
    <col min="10240" max="10241" width="0.81640625" style="12" customWidth="1"/>
    <col min="10242" max="10242" width="3.81640625" style="12" customWidth="1"/>
    <col min="10243" max="10243" width="12.1796875" style="12" bestFit="1" customWidth="1"/>
    <col min="10244" max="10244" width="12" style="12" bestFit="1" customWidth="1"/>
    <col min="10245" max="10245" width="30.26953125" style="12" customWidth="1"/>
    <col min="10246" max="10246" width="5.453125" style="12" customWidth="1"/>
    <col min="10247" max="10247" width="2.453125" style="12" customWidth="1"/>
    <col min="10248" max="10248" width="8.7265625" style="12"/>
    <col min="10249" max="10249" width="12" style="12" customWidth="1"/>
    <col min="10250" max="10250" width="12" style="12" bestFit="1" customWidth="1"/>
    <col min="10251" max="10251" width="7.54296875" style="12" bestFit="1" customWidth="1"/>
    <col min="10252" max="10252" width="1.7265625" style="12" customWidth="1"/>
    <col min="10253" max="10253" width="2.453125" style="12" customWidth="1"/>
    <col min="10254" max="10254" width="8.7265625" style="12"/>
    <col min="10255" max="10256" width="12" style="12" customWidth="1"/>
    <col min="10257" max="10257" width="7.54296875" style="12" bestFit="1" customWidth="1"/>
    <col min="10258" max="10258" width="2.1796875" style="12" customWidth="1"/>
    <col min="10259" max="10261" width="9.26953125" style="12" bestFit="1" customWidth="1"/>
    <col min="10262" max="10269" width="9.1796875" style="12" customWidth="1"/>
    <col min="10270" max="10270" width="10.1796875" style="12" customWidth="1"/>
    <col min="10271" max="10271" width="5.81640625" style="12" customWidth="1"/>
    <col min="10272" max="10272" width="8.26953125" style="12" customWidth="1"/>
    <col min="10273" max="10273" width="9.7265625" style="12" customWidth="1"/>
    <col min="10274" max="10274" width="8.1796875" style="12" customWidth="1"/>
    <col min="10275" max="10275" width="6.81640625" style="12" customWidth="1"/>
    <col min="10276" max="10276" width="7.7265625" style="12" customWidth="1"/>
    <col min="10277" max="10283" width="9.1796875" style="12" customWidth="1"/>
    <col min="10284" max="10493" width="8.7265625" style="12"/>
    <col min="10494" max="10495" width="8.81640625" style="12" customWidth="1"/>
    <col min="10496" max="10497" width="0.81640625" style="12" customWidth="1"/>
    <col min="10498" max="10498" width="3.81640625" style="12" customWidth="1"/>
    <col min="10499" max="10499" width="12.1796875" style="12" bestFit="1" customWidth="1"/>
    <col min="10500" max="10500" width="12" style="12" bestFit="1" customWidth="1"/>
    <col min="10501" max="10501" width="30.26953125" style="12" customWidth="1"/>
    <col min="10502" max="10502" width="5.453125" style="12" customWidth="1"/>
    <col min="10503" max="10503" width="2.453125" style="12" customWidth="1"/>
    <col min="10504" max="10504" width="8.7265625" style="12"/>
    <col min="10505" max="10505" width="12" style="12" customWidth="1"/>
    <col min="10506" max="10506" width="12" style="12" bestFit="1" customWidth="1"/>
    <col min="10507" max="10507" width="7.54296875" style="12" bestFit="1" customWidth="1"/>
    <col min="10508" max="10508" width="1.7265625" style="12" customWidth="1"/>
    <col min="10509" max="10509" width="2.453125" style="12" customWidth="1"/>
    <col min="10510" max="10510" width="8.7265625" style="12"/>
    <col min="10511" max="10512" width="12" style="12" customWidth="1"/>
    <col min="10513" max="10513" width="7.54296875" style="12" bestFit="1" customWidth="1"/>
    <col min="10514" max="10514" width="2.1796875" style="12" customWidth="1"/>
    <col min="10515" max="10517" width="9.26953125" style="12" bestFit="1" customWidth="1"/>
    <col min="10518" max="10525" width="9.1796875" style="12" customWidth="1"/>
    <col min="10526" max="10526" width="10.1796875" style="12" customWidth="1"/>
    <col min="10527" max="10527" width="5.81640625" style="12" customWidth="1"/>
    <col min="10528" max="10528" width="8.26953125" style="12" customWidth="1"/>
    <col min="10529" max="10529" width="9.7265625" style="12" customWidth="1"/>
    <col min="10530" max="10530" width="8.1796875" style="12" customWidth="1"/>
    <col min="10531" max="10531" width="6.81640625" style="12" customWidth="1"/>
    <col min="10532" max="10532" width="7.7265625" style="12" customWidth="1"/>
    <col min="10533" max="10539" width="9.1796875" style="12" customWidth="1"/>
    <col min="10540" max="10749" width="8.7265625" style="12"/>
    <col min="10750" max="10751" width="8.81640625" style="12" customWidth="1"/>
    <col min="10752" max="10753" width="0.81640625" style="12" customWidth="1"/>
    <col min="10754" max="10754" width="3.81640625" style="12" customWidth="1"/>
    <col min="10755" max="10755" width="12.1796875" style="12" bestFit="1" customWidth="1"/>
    <col min="10756" max="10756" width="12" style="12" bestFit="1" customWidth="1"/>
    <col min="10757" max="10757" width="30.26953125" style="12" customWidth="1"/>
    <col min="10758" max="10758" width="5.453125" style="12" customWidth="1"/>
    <col min="10759" max="10759" width="2.453125" style="12" customWidth="1"/>
    <col min="10760" max="10760" width="8.7265625" style="12"/>
    <col min="10761" max="10761" width="12" style="12" customWidth="1"/>
    <col min="10762" max="10762" width="12" style="12" bestFit="1" customWidth="1"/>
    <col min="10763" max="10763" width="7.54296875" style="12" bestFit="1" customWidth="1"/>
    <col min="10764" max="10764" width="1.7265625" style="12" customWidth="1"/>
    <col min="10765" max="10765" width="2.453125" style="12" customWidth="1"/>
    <col min="10766" max="10766" width="8.7265625" style="12"/>
    <col min="10767" max="10768" width="12" style="12" customWidth="1"/>
    <col min="10769" max="10769" width="7.54296875" style="12" bestFit="1" customWidth="1"/>
    <col min="10770" max="10770" width="2.1796875" style="12" customWidth="1"/>
    <col min="10771" max="10773" width="9.26953125" style="12" bestFit="1" customWidth="1"/>
    <col min="10774" max="10781" width="9.1796875" style="12" customWidth="1"/>
    <col min="10782" max="10782" width="10.1796875" style="12" customWidth="1"/>
    <col min="10783" max="10783" width="5.81640625" style="12" customWidth="1"/>
    <col min="10784" max="10784" width="8.26953125" style="12" customWidth="1"/>
    <col min="10785" max="10785" width="9.7265625" style="12" customWidth="1"/>
    <col min="10786" max="10786" width="8.1796875" style="12" customWidth="1"/>
    <col min="10787" max="10787" width="6.81640625" style="12" customWidth="1"/>
    <col min="10788" max="10788" width="7.7265625" style="12" customWidth="1"/>
    <col min="10789" max="10795" width="9.1796875" style="12" customWidth="1"/>
    <col min="10796" max="11005" width="8.7265625" style="12"/>
    <col min="11006" max="11007" width="8.81640625" style="12" customWidth="1"/>
    <col min="11008" max="11009" width="0.81640625" style="12" customWidth="1"/>
    <col min="11010" max="11010" width="3.81640625" style="12" customWidth="1"/>
    <col min="11011" max="11011" width="12.1796875" style="12" bestFit="1" customWidth="1"/>
    <col min="11012" max="11012" width="12" style="12" bestFit="1" customWidth="1"/>
    <col min="11013" max="11013" width="30.26953125" style="12" customWidth="1"/>
    <col min="11014" max="11014" width="5.453125" style="12" customWidth="1"/>
    <col min="11015" max="11015" width="2.453125" style="12" customWidth="1"/>
    <col min="11016" max="11016" width="8.7265625" style="12"/>
    <col min="11017" max="11017" width="12" style="12" customWidth="1"/>
    <col min="11018" max="11018" width="12" style="12" bestFit="1" customWidth="1"/>
    <col min="11019" max="11019" width="7.54296875" style="12" bestFit="1" customWidth="1"/>
    <col min="11020" max="11020" width="1.7265625" style="12" customWidth="1"/>
    <col min="11021" max="11021" width="2.453125" style="12" customWidth="1"/>
    <col min="11022" max="11022" width="8.7265625" style="12"/>
    <col min="11023" max="11024" width="12" style="12" customWidth="1"/>
    <col min="11025" max="11025" width="7.54296875" style="12" bestFit="1" customWidth="1"/>
    <col min="11026" max="11026" width="2.1796875" style="12" customWidth="1"/>
    <col min="11027" max="11029" width="9.26953125" style="12" bestFit="1" customWidth="1"/>
    <col min="11030" max="11037" width="9.1796875" style="12" customWidth="1"/>
    <col min="11038" max="11038" width="10.1796875" style="12" customWidth="1"/>
    <col min="11039" max="11039" width="5.81640625" style="12" customWidth="1"/>
    <col min="11040" max="11040" width="8.26953125" style="12" customWidth="1"/>
    <col min="11041" max="11041" width="9.7265625" style="12" customWidth="1"/>
    <col min="11042" max="11042" width="8.1796875" style="12" customWidth="1"/>
    <col min="11043" max="11043" width="6.81640625" style="12" customWidth="1"/>
    <col min="11044" max="11044" width="7.7265625" style="12" customWidth="1"/>
    <col min="11045" max="11051" width="9.1796875" style="12" customWidth="1"/>
    <col min="11052" max="11261" width="8.7265625" style="12"/>
    <col min="11262" max="11263" width="8.81640625" style="12" customWidth="1"/>
    <col min="11264" max="11265" width="0.81640625" style="12" customWidth="1"/>
    <col min="11266" max="11266" width="3.81640625" style="12" customWidth="1"/>
    <col min="11267" max="11267" width="12.1796875" style="12" bestFit="1" customWidth="1"/>
    <col min="11268" max="11268" width="12" style="12" bestFit="1" customWidth="1"/>
    <col min="11269" max="11269" width="30.26953125" style="12" customWidth="1"/>
    <col min="11270" max="11270" width="5.453125" style="12" customWidth="1"/>
    <col min="11271" max="11271" width="2.453125" style="12" customWidth="1"/>
    <col min="11272" max="11272" width="8.7265625" style="12"/>
    <col min="11273" max="11273" width="12" style="12" customWidth="1"/>
    <col min="11274" max="11274" width="12" style="12" bestFit="1" customWidth="1"/>
    <col min="11275" max="11275" width="7.54296875" style="12" bestFit="1" customWidth="1"/>
    <col min="11276" max="11276" width="1.7265625" style="12" customWidth="1"/>
    <col min="11277" max="11277" width="2.453125" style="12" customWidth="1"/>
    <col min="11278" max="11278" width="8.7265625" style="12"/>
    <col min="11279" max="11280" width="12" style="12" customWidth="1"/>
    <col min="11281" max="11281" width="7.54296875" style="12" bestFit="1" customWidth="1"/>
    <col min="11282" max="11282" width="2.1796875" style="12" customWidth="1"/>
    <col min="11283" max="11285" width="9.26953125" style="12" bestFit="1" customWidth="1"/>
    <col min="11286" max="11293" width="9.1796875" style="12" customWidth="1"/>
    <col min="11294" max="11294" width="10.1796875" style="12" customWidth="1"/>
    <col min="11295" max="11295" width="5.81640625" style="12" customWidth="1"/>
    <col min="11296" max="11296" width="8.26953125" style="12" customWidth="1"/>
    <col min="11297" max="11297" width="9.7265625" style="12" customWidth="1"/>
    <col min="11298" max="11298" width="8.1796875" style="12" customWidth="1"/>
    <col min="11299" max="11299" width="6.81640625" style="12" customWidth="1"/>
    <col min="11300" max="11300" width="7.7265625" style="12" customWidth="1"/>
    <col min="11301" max="11307" width="9.1796875" style="12" customWidth="1"/>
    <col min="11308" max="11517" width="8.7265625" style="12"/>
    <col min="11518" max="11519" width="8.81640625" style="12" customWidth="1"/>
    <col min="11520" max="11521" width="0.81640625" style="12" customWidth="1"/>
    <col min="11522" max="11522" width="3.81640625" style="12" customWidth="1"/>
    <col min="11523" max="11523" width="12.1796875" style="12" bestFit="1" customWidth="1"/>
    <col min="11524" max="11524" width="12" style="12" bestFit="1" customWidth="1"/>
    <col min="11525" max="11525" width="30.26953125" style="12" customWidth="1"/>
    <col min="11526" max="11526" width="5.453125" style="12" customWidth="1"/>
    <col min="11527" max="11527" width="2.453125" style="12" customWidth="1"/>
    <col min="11528" max="11528" width="8.7265625" style="12"/>
    <col min="11529" max="11529" width="12" style="12" customWidth="1"/>
    <col min="11530" max="11530" width="12" style="12" bestFit="1" customWidth="1"/>
    <col min="11531" max="11531" width="7.54296875" style="12" bestFit="1" customWidth="1"/>
    <col min="11532" max="11532" width="1.7265625" style="12" customWidth="1"/>
    <col min="11533" max="11533" width="2.453125" style="12" customWidth="1"/>
    <col min="11534" max="11534" width="8.7265625" style="12"/>
    <col min="11535" max="11536" width="12" style="12" customWidth="1"/>
    <col min="11537" max="11537" width="7.54296875" style="12" bestFit="1" customWidth="1"/>
    <col min="11538" max="11538" width="2.1796875" style="12" customWidth="1"/>
    <col min="11539" max="11541" width="9.26953125" style="12" bestFit="1" customWidth="1"/>
    <col min="11542" max="11549" width="9.1796875" style="12" customWidth="1"/>
    <col min="11550" max="11550" width="10.1796875" style="12" customWidth="1"/>
    <col min="11551" max="11551" width="5.81640625" style="12" customWidth="1"/>
    <col min="11552" max="11552" width="8.26953125" style="12" customWidth="1"/>
    <col min="11553" max="11553" width="9.7265625" style="12" customWidth="1"/>
    <col min="11554" max="11554" width="8.1796875" style="12" customWidth="1"/>
    <col min="11555" max="11555" width="6.81640625" style="12" customWidth="1"/>
    <col min="11556" max="11556" width="7.7265625" style="12" customWidth="1"/>
    <col min="11557" max="11563" width="9.1796875" style="12" customWidth="1"/>
    <col min="11564" max="11773" width="8.7265625" style="12"/>
    <col min="11774" max="11775" width="8.81640625" style="12" customWidth="1"/>
    <col min="11776" max="11777" width="0.81640625" style="12" customWidth="1"/>
    <col min="11778" max="11778" width="3.81640625" style="12" customWidth="1"/>
    <col min="11779" max="11779" width="12.1796875" style="12" bestFit="1" customWidth="1"/>
    <col min="11780" max="11780" width="12" style="12" bestFit="1" customWidth="1"/>
    <col min="11781" max="11781" width="30.26953125" style="12" customWidth="1"/>
    <col min="11782" max="11782" width="5.453125" style="12" customWidth="1"/>
    <col min="11783" max="11783" width="2.453125" style="12" customWidth="1"/>
    <col min="11784" max="11784" width="8.7265625" style="12"/>
    <col min="11785" max="11785" width="12" style="12" customWidth="1"/>
    <col min="11786" max="11786" width="12" style="12" bestFit="1" customWidth="1"/>
    <col min="11787" max="11787" width="7.54296875" style="12" bestFit="1" customWidth="1"/>
    <col min="11788" max="11788" width="1.7265625" style="12" customWidth="1"/>
    <col min="11789" max="11789" width="2.453125" style="12" customWidth="1"/>
    <col min="11790" max="11790" width="8.7265625" style="12"/>
    <col min="11791" max="11792" width="12" style="12" customWidth="1"/>
    <col min="11793" max="11793" width="7.54296875" style="12" bestFit="1" customWidth="1"/>
    <col min="11794" max="11794" width="2.1796875" style="12" customWidth="1"/>
    <col min="11795" max="11797" width="9.26953125" style="12" bestFit="1" customWidth="1"/>
    <col min="11798" max="11805" width="9.1796875" style="12" customWidth="1"/>
    <col min="11806" max="11806" width="10.1796875" style="12" customWidth="1"/>
    <col min="11807" max="11807" width="5.81640625" style="12" customWidth="1"/>
    <col min="11808" max="11808" width="8.26953125" style="12" customWidth="1"/>
    <col min="11809" max="11809" width="9.7265625" style="12" customWidth="1"/>
    <col min="11810" max="11810" width="8.1796875" style="12" customWidth="1"/>
    <col min="11811" max="11811" width="6.81640625" style="12" customWidth="1"/>
    <col min="11812" max="11812" width="7.7265625" style="12" customWidth="1"/>
    <col min="11813" max="11819" width="9.1796875" style="12" customWidth="1"/>
    <col min="11820" max="12029" width="8.7265625" style="12"/>
    <col min="12030" max="12031" width="8.81640625" style="12" customWidth="1"/>
    <col min="12032" max="12033" width="0.81640625" style="12" customWidth="1"/>
    <col min="12034" max="12034" width="3.81640625" style="12" customWidth="1"/>
    <col min="12035" max="12035" width="12.1796875" style="12" bestFit="1" customWidth="1"/>
    <col min="12036" max="12036" width="12" style="12" bestFit="1" customWidth="1"/>
    <col min="12037" max="12037" width="30.26953125" style="12" customWidth="1"/>
    <col min="12038" max="12038" width="5.453125" style="12" customWidth="1"/>
    <col min="12039" max="12039" width="2.453125" style="12" customWidth="1"/>
    <col min="12040" max="12040" width="8.7265625" style="12"/>
    <col min="12041" max="12041" width="12" style="12" customWidth="1"/>
    <col min="12042" max="12042" width="12" style="12" bestFit="1" customWidth="1"/>
    <col min="12043" max="12043" width="7.54296875" style="12" bestFit="1" customWidth="1"/>
    <col min="12044" max="12044" width="1.7265625" style="12" customWidth="1"/>
    <col min="12045" max="12045" width="2.453125" style="12" customWidth="1"/>
    <col min="12046" max="12046" width="8.7265625" style="12"/>
    <col min="12047" max="12048" width="12" style="12" customWidth="1"/>
    <col min="12049" max="12049" width="7.54296875" style="12" bestFit="1" customWidth="1"/>
    <col min="12050" max="12050" width="2.1796875" style="12" customWidth="1"/>
    <col min="12051" max="12053" width="9.26953125" style="12" bestFit="1" customWidth="1"/>
    <col min="12054" max="12061" width="9.1796875" style="12" customWidth="1"/>
    <col min="12062" max="12062" width="10.1796875" style="12" customWidth="1"/>
    <col min="12063" max="12063" width="5.81640625" style="12" customWidth="1"/>
    <col min="12064" max="12064" width="8.26953125" style="12" customWidth="1"/>
    <col min="12065" max="12065" width="9.7265625" style="12" customWidth="1"/>
    <col min="12066" max="12066" width="8.1796875" style="12" customWidth="1"/>
    <col min="12067" max="12067" width="6.81640625" style="12" customWidth="1"/>
    <col min="12068" max="12068" width="7.7265625" style="12" customWidth="1"/>
    <col min="12069" max="12075" width="9.1796875" style="12" customWidth="1"/>
    <col min="12076" max="12285" width="8.7265625" style="12"/>
    <col min="12286" max="12287" width="8.81640625" style="12" customWidth="1"/>
    <col min="12288" max="12289" width="0.81640625" style="12" customWidth="1"/>
    <col min="12290" max="12290" width="3.81640625" style="12" customWidth="1"/>
    <col min="12291" max="12291" width="12.1796875" style="12" bestFit="1" customWidth="1"/>
    <col min="12292" max="12292" width="12" style="12" bestFit="1" customWidth="1"/>
    <col min="12293" max="12293" width="30.26953125" style="12" customWidth="1"/>
    <col min="12294" max="12294" width="5.453125" style="12" customWidth="1"/>
    <col min="12295" max="12295" width="2.453125" style="12" customWidth="1"/>
    <col min="12296" max="12296" width="8.7265625" style="12"/>
    <col min="12297" max="12297" width="12" style="12" customWidth="1"/>
    <col min="12298" max="12298" width="12" style="12" bestFit="1" customWidth="1"/>
    <col min="12299" max="12299" width="7.54296875" style="12" bestFit="1" customWidth="1"/>
    <col min="12300" max="12300" width="1.7265625" style="12" customWidth="1"/>
    <col min="12301" max="12301" width="2.453125" style="12" customWidth="1"/>
    <col min="12302" max="12302" width="8.7265625" style="12"/>
    <col min="12303" max="12304" width="12" style="12" customWidth="1"/>
    <col min="12305" max="12305" width="7.54296875" style="12" bestFit="1" customWidth="1"/>
    <col min="12306" max="12306" width="2.1796875" style="12" customWidth="1"/>
    <col min="12307" max="12309" width="9.26953125" style="12" bestFit="1" customWidth="1"/>
    <col min="12310" max="12317" width="9.1796875" style="12" customWidth="1"/>
    <col min="12318" max="12318" width="10.1796875" style="12" customWidth="1"/>
    <col min="12319" max="12319" width="5.81640625" style="12" customWidth="1"/>
    <col min="12320" max="12320" width="8.26953125" style="12" customWidth="1"/>
    <col min="12321" max="12321" width="9.7265625" style="12" customWidth="1"/>
    <col min="12322" max="12322" width="8.1796875" style="12" customWidth="1"/>
    <col min="12323" max="12323" width="6.81640625" style="12" customWidth="1"/>
    <col min="12324" max="12324" width="7.7265625" style="12" customWidth="1"/>
    <col min="12325" max="12331" width="9.1796875" style="12" customWidth="1"/>
    <col min="12332" max="12541" width="8.7265625" style="12"/>
    <col min="12542" max="12543" width="8.81640625" style="12" customWidth="1"/>
    <col min="12544" max="12545" width="0.81640625" style="12" customWidth="1"/>
    <col min="12546" max="12546" width="3.81640625" style="12" customWidth="1"/>
    <col min="12547" max="12547" width="12.1796875" style="12" bestFit="1" customWidth="1"/>
    <col min="12548" max="12548" width="12" style="12" bestFit="1" customWidth="1"/>
    <col min="12549" max="12549" width="30.26953125" style="12" customWidth="1"/>
    <col min="12550" max="12550" width="5.453125" style="12" customWidth="1"/>
    <col min="12551" max="12551" width="2.453125" style="12" customWidth="1"/>
    <col min="12552" max="12552" width="8.7265625" style="12"/>
    <col min="12553" max="12553" width="12" style="12" customWidth="1"/>
    <col min="12554" max="12554" width="12" style="12" bestFit="1" customWidth="1"/>
    <col min="12555" max="12555" width="7.54296875" style="12" bestFit="1" customWidth="1"/>
    <col min="12556" max="12556" width="1.7265625" style="12" customWidth="1"/>
    <col min="12557" max="12557" width="2.453125" style="12" customWidth="1"/>
    <col min="12558" max="12558" width="8.7265625" style="12"/>
    <col min="12559" max="12560" width="12" style="12" customWidth="1"/>
    <col min="12561" max="12561" width="7.54296875" style="12" bestFit="1" customWidth="1"/>
    <col min="12562" max="12562" width="2.1796875" style="12" customWidth="1"/>
    <col min="12563" max="12565" width="9.26953125" style="12" bestFit="1" customWidth="1"/>
    <col min="12566" max="12573" width="9.1796875" style="12" customWidth="1"/>
    <col min="12574" max="12574" width="10.1796875" style="12" customWidth="1"/>
    <col min="12575" max="12575" width="5.81640625" style="12" customWidth="1"/>
    <col min="12576" max="12576" width="8.26953125" style="12" customWidth="1"/>
    <col min="12577" max="12577" width="9.7265625" style="12" customWidth="1"/>
    <col min="12578" max="12578" width="8.1796875" style="12" customWidth="1"/>
    <col min="12579" max="12579" width="6.81640625" style="12" customWidth="1"/>
    <col min="12580" max="12580" width="7.7265625" style="12" customWidth="1"/>
    <col min="12581" max="12587" width="9.1796875" style="12" customWidth="1"/>
    <col min="12588" max="12797" width="8.7265625" style="12"/>
    <col min="12798" max="12799" width="8.81640625" style="12" customWidth="1"/>
    <col min="12800" max="12801" width="0.81640625" style="12" customWidth="1"/>
    <col min="12802" max="12802" width="3.81640625" style="12" customWidth="1"/>
    <col min="12803" max="12803" width="12.1796875" style="12" bestFit="1" customWidth="1"/>
    <col min="12804" max="12804" width="12" style="12" bestFit="1" customWidth="1"/>
    <col min="12805" max="12805" width="30.26953125" style="12" customWidth="1"/>
    <col min="12806" max="12806" width="5.453125" style="12" customWidth="1"/>
    <col min="12807" max="12807" width="2.453125" style="12" customWidth="1"/>
    <col min="12808" max="12808" width="8.7265625" style="12"/>
    <col min="12809" max="12809" width="12" style="12" customWidth="1"/>
    <col min="12810" max="12810" width="12" style="12" bestFit="1" customWidth="1"/>
    <col min="12811" max="12811" width="7.54296875" style="12" bestFit="1" customWidth="1"/>
    <col min="12812" max="12812" width="1.7265625" style="12" customWidth="1"/>
    <col min="12813" max="12813" width="2.453125" style="12" customWidth="1"/>
    <col min="12814" max="12814" width="8.7265625" style="12"/>
    <col min="12815" max="12816" width="12" style="12" customWidth="1"/>
    <col min="12817" max="12817" width="7.54296875" style="12" bestFit="1" customWidth="1"/>
    <col min="12818" max="12818" width="2.1796875" style="12" customWidth="1"/>
    <col min="12819" max="12821" width="9.26953125" style="12" bestFit="1" customWidth="1"/>
    <col min="12822" max="12829" width="9.1796875" style="12" customWidth="1"/>
    <col min="12830" max="12830" width="10.1796875" style="12" customWidth="1"/>
    <col min="12831" max="12831" width="5.81640625" style="12" customWidth="1"/>
    <col min="12832" max="12832" width="8.26953125" style="12" customWidth="1"/>
    <col min="12833" max="12833" width="9.7265625" style="12" customWidth="1"/>
    <col min="12834" max="12834" width="8.1796875" style="12" customWidth="1"/>
    <col min="12835" max="12835" width="6.81640625" style="12" customWidth="1"/>
    <col min="12836" max="12836" width="7.7265625" style="12" customWidth="1"/>
    <col min="12837" max="12843" width="9.1796875" style="12" customWidth="1"/>
    <col min="12844" max="13053" width="8.7265625" style="12"/>
    <col min="13054" max="13055" width="8.81640625" style="12" customWidth="1"/>
    <col min="13056" max="13057" width="0.81640625" style="12" customWidth="1"/>
    <col min="13058" max="13058" width="3.81640625" style="12" customWidth="1"/>
    <col min="13059" max="13059" width="12.1796875" style="12" bestFit="1" customWidth="1"/>
    <col min="13060" max="13060" width="12" style="12" bestFit="1" customWidth="1"/>
    <col min="13061" max="13061" width="30.26953125" style="12" customWidth="1"/>
    <col min="13062" max="13062" width="5.453125" style="12" customWidth="1"/>
    <col min="13063" max="13063" width="2.453125" style="12" customWidth="1"/>
    <col min="13064" max="13064" width="8.7265625" style="12"/>
    <col min="13065" max="13065" width="12" style="12" customWidth="1"/>
    <col min="13066" max="13066" width="12" style="12" bestFit="1" customWidth="1"/>
    <col min="13067" max="13067" width="7.54296875" style="12" bestFit="1" customWidth="1"/>
    <col min="13068" max="13068" width="1.7265625" style="12" customWidth="1"/>
    <col min="13069" max="13069" width="2.453125" style="12" customWidth="1"/>
    <col min="13070" max="13070" width="8.7265625" style="12"/>
    <col min="13071" max="13072" width="12" style="12" customWidth="1"/>
    <col min="13073" max="13073" width="7.54296875" style="12" bestFit="1" customWidth="1"/>
    <col min="13074" max="13074" width="2.1796875" style="12" customWidth="1"/>
    <col min="13075" max="13077" width="9.26953125" style="12" bestFit="1" customWidth="1"/>
    <col min="13078" max="13085" width="9.1796875" style="12" customWidth="1"/>
    <col min="13086" max="13086" width="10.1796875" style="12" customWidth="1"/>
    <col min="13087" max="13087" width="5.81640625" style="12" customWidth="1"/>
    <col min="13088" max="13088" width="8.26953125" style="12" customWidth="1"/>
    <col min="13089" max="13089" width="9.7265625" style="12" customWidth="1"/>
    <col min="13090" max="13090" width="8.1796875" style="12" customWidth="1"/>
    <col min="13091" max="13091" width="6.81640625" style="12" customWidth="1"/>
    <col min="13092" max="13092" width="7.7265625" style="12" customWidth="1"/>
    <col min="13093" max="13099" width="9.1796875" style="12" customWidth="1"/>
    <col min="13100" max="13309" width="8.7265625" style="12"/>
    <col min="13310" max="13311" width="8.81640625" style="12" customWidth="1"/>
    <col min="13312" max="13313" width="0.81640625" style="12" customWidth="1"/>
    <col min="13314" max="13314" width="3.81640625" style="12" customWidth="1"/>
    <col min="13315" max="13315" width="12.1796875" style="12" bestFit="1" customWidth="1"/>
    <col min="13316" max="13316" width="12" style="12" bestFit="1" customWidth="1"/>
    <col min="13317" max="13317" width="30.26953125" style="12" customWidth="1"/>
    <col min="13318" max="13318" width="5.453125" style="12" customWidth="1"/>
    <col min="13319" max="13319" width="2.453125" style="12" customWidth="1"/>
    <col min="13320" max="13320" width="8.7265625" style="12"/>
    <col min="13321" max="13321" width="12" style="12" customWidth="1"/>
    <col min="13322" max="13322" width="12" style="12" bestFit="1" customWidth="1"/>
    <col min="13323" max="13323" width="7.54296875" style="12" bestFit="1" customWidth="1"/>
    <col min="13324" max="13324" width="1.7265625" style="12" customWidth="1"/>
    <col min="13325" max="13325" width="2.453125" style="12" customWidth="1"/>
    <col min="13326" max="13326" width="8.7265625" style="12"/>
    <col min="13327" max="13328" width="12" style="12" customWidth="1"/>
    <col min="13329" max="13329" width="7.54296875" style="12" bestFit="1" customWidth="1"/>
    <col min="13330" max="13330" width="2.1796875" style="12" customWidth="1"/>
    <col min="13331" max="13333" width="9.26953125" style="12" bestFit="1" customWidth="1"/>
    <col min="13334" max="13341" width="9.1796875" style="12" customWidth="1"/>
    <col min="13342" max="13342" width="10.1796875" style="12" customWidth="1"/>
    <col min="13343" max="13343" width="5.81640625" style="12" customWidth="1"/>
    <col min="13344" max="13344" width="8.26953125" style="12" customWidth="1"/>
    <col min="13345" max="13345" width="9.7265625" style="12" customWidth="1"/>
    <col min="13346" max="13346" width="8.1796875" style="12" customWidth="1"/>
    <col min="13347" max="13347" width="6.81640625" style="12" customWidth="1"/>
    <col min="13348" max="13348" width="7.7265625" style="12" customWidth="1"/>
    <col min="13349" max="13355" width="9.1796875" style="12" customWidth="1"/>
    <col min="13356" max="13565" width="8.7265625" style="12"/>
    <col min="13566" max="13567" width="8.81640625" style="12" customWidth="1"/>
    <col min="13568" max="13569" width="0.81640625" style="12" customWidth="1"/>
    <col min="13570" max="13570" width="3.81640625" style="12" customWidth="1"/>
    <col min="13571" max="13571" width="12.1796875" style="12" bestFit="1" customWidth="1"/>
    <col min="13572" max="13572" width="12" style="12" bestFit="1" customWidth="1"/>
    <col min="13573" max="13573" width="30.26953125" style="12" customWidth="1"/>
    <col min="13574" max="13574" width="5.453125" style="12" customWidth="1"/>
    <col min="13575" max="13575" width="2.453125" style="12" customWidth="1"/>
    <col min="13576" max="13576" width="8.7265625" style="12"/>
    <col min="13577" max="13577" width="12" style="12" customWidth="1"/>
    <col min="13578" max="13578" width="12" style="12" bestFit="1" customWidth="1"/>
    <col min="13579" max="13579" width="7.54296875" style="12" bestFit="1" customWidth="1"/>
    <col min="13580" max="13580" width="1.7265625" style="12" customWidth="1"/>
    <col min="13581" max="13581" width="2.453125" style="12" customWidth="1"/>
    <col min="13582" max="13582" width="8.7265625" style="12"/>
    <col min="13583" max="13584" width="12" style="12" customWidth="1"/>
    <col min="13585" max="13585" width="7.54296875" style="12" bestFit="1" customWidth="1"/>
    <col min="13586" max="13586" width="2.1796875" style="12" customWidth="1"/>
    <col min="13587" max="13589" width="9.26953125" style="12" bestFit="1" customWidth="1"/>
    <col min="13590" max="13597" width="9.1796875" style="12" customWidth="1"/>
    <col min="13598" max="13598" width="10.1796875" style="12" customWidth="1"/>
    <col min="13599" max="13599" width="5.81640625" style="12" customWidth="1"/>
    <col min="13600" max="13600" width="8.26953125" style="12" customWidth="1"/>
    <col min="13601" max="13601" width="9.7265625" style="12" customWidth="1"/>
    <col min="13602" max="13602" width="8.1796875" style="12" customWidth="1"/>
    <col min="13603" max="13603" width="6.81640625" style="12" customWidth="1"/>
    <col min="13604" max="13604" width="7.7265625" style="12" customWidth="1"/>
    <col min="13605" max="13611" width="9.1796875" style="12" customWidth="1"/>
    <col min="13612" max="13821" width="8.7265625" style="12"/>
    <col min="13822" max="13823" width="8.81640625" style="12" customWidth="1"/>
    <col min="13824" max="13825" width="0.81640625" style="12" customWidth="1"/>
    <col min="13826" max="13826" width="3.81640625" style="12" customWidth="1"/>
    <col min="13827" max="13827" width="12.1796875" style="12" bestFit="1" customWidth="1"/>
    <col min="13828" max="13828" width="12" style="12" bestFit="1" customWidth="1"/>
    <col min="13829" max="13829" width="30.26953125" style="12" customWidth="1"/>
    <col min="13830" max="13830" width="5.453125" style="12" customWidth="1"/>
    <col min="13831" max="13831" width="2.453125" style="12" customWidth="1"/>
    <col min="13832" max="13832" width="8.7265625" style="12"/>
    <col min="13833" max="13833" width="12" style="12" customWidth="1"/>
    <col min="13834" max="13834" width="12" style="12" bestFit="1" customWidth="1"/>
    <col min="13835" max="13835" width="7.54296875" style="12" bestFit="1" customWidth="1"/>
    <col min="13836" max="13836" width="1.7265625" style="12" customWidth="1"/>
    <col min="13837" max="13837" width="2.453125" style="12" customWidth="1"/>
    <col min="13838" max="13838" width="8.7265625" style="12"/>
    <col min="13839" max="13840" width="12" style="12" customWidth="1"/>
    <col min="13841" max="13841" width="7.54296875" style="12" bestFit="1" customWidth="1"/>
    <col min="13842" max="13842" width="2.1796875" style="12" customWidth="1"/>
    <col min="13843" max="13845" width="9.26953125" style="12" bestFit="1" customWidth="1"/>
    <col min="13846" max="13853" width="9.1796875" style="12" customWidth="1"/>
    <col min="13854" max="13854" width="10.1796875" style="12" customWidth="1"/>
    <col min="13855" max="13855" width="5.81640625" style="12" customWidth="1"/>
    <col min="13856" max="13856" width="8.26953125" style="12" customWidth="1"/>
    <col min="13857" max="13857" width="9.7265625" style="12" customWidth="1"/>
    <col min="13858" max="13858" width="8.1796875" style="12" customWidth="1"/>
    <col min="13859" max="13859" width="6.81640625" style="12" customWidth="1"/>
    <col min="13860" max="13860" width="7.7265625" style="12" customWidth="1"/>
    <col min="13861" max="13867" width="9.1796875" style="12" customWidth="1"/>
    <col min="13868" max="14077" width="8.7265625" style="12"/>
    <col min="14078" max="14079" width="8.81640625" style="12" customWidth="1"/>
    <col min="14080" max="14081" width="0.81640625" style="12" customWidth="1"/>
    <col min="14082" max="14082" width="3.81640625" style="12" customWidth="1"/>
    <col min="14083" max="14083" width="12.1796875" style="12" bestFit="1" customWidth="1"/>
    <col min="14084" max="14084" width="12" style="12" bestFit="1" customWidth="1"/>
    <col min="14085" max="14085" width="30.26953125" style="12" customWidth="1"/>
    <col min="14086" max="14086" width="5.453125" style="12" customWidth="1"/>
    <col min="14087" max="14087" width="2.453125" style="12" customWidth="1"/>
    <col min="14088" max="14088" width="8.7265625" style="12"/>
    <col min="14089" max="14089" width="12" style="12" customWidth="1"/>
    <col min="14090" max="14090" width="12" style="12" bestFit="1" customWidth="1"/>
    <col min="14091" max="14091" width="7.54296875" style="12" bestFit="1" customWidth="1"/>
    <col min="14092" max="14092" width="1.7265625" style="12" customWidth="1"/>
    <col min="14093" max="14093" width="2.453125" style="12" customWidth="1"/>
    <col min="14094" max="14094" width="8.7265625" style="12"/>
    <col min="14095" max="14096" width="12" style="12" customWidth="1"/>
    <col min="14097" max="14097" width="7.54296875" style="12" bestFit="1" customWidth="1"/>
    <col min="14098" max="14098" width="2.1796875" style="12" customWidth="1"/>
    <col min="14099" max="14101" width="9.26953125" style="12" bestFit="1" customWidth="1"/>
    <col min="14102" max="14109" width="9.1796875" style="12" customWidth="1"/>
    <col min="14110" max="14110" width="10.1796875" style="12" customWidth="1"/>
    <col min="14111" max="14111" width="5.81640625" style="12" customWidth="1"/>
    <col min="14112" max="14112" width="8.26953125" style="12" customWidth="1"/>
    <col min="14113" max="14113" width="9.7265625" style="12" customWidth="1"/>
    <col min="14114" max="14114" width="8.1796875" style="12" customWidth="1"/>
    <col min="14115" max="14115" width="6.81640625" style="12" customWidth="1"/>
    <col min="14116" max="14116" width="7.7265625" style="12" customWidth="1"/>
    <col min="14117" max="14123" width="9.1796875" style="12" customWidth="1"/>
    <col min="14124" max="14333" width="8.7265625" style="12"/>
    <col min="14334" max="14335" width="8.81640625" style="12" customWidth="1"/>
    <col min="14336" max="14337" width="0.81640625" style="12" customWidth="1"/>
    <col min="14338" max="14338" width="3.81640625" style="12" customWidth="1"/>
    <col min="14339" max="14339" width="12.1796875" style="12" bestFit="1" customWidth="1"/>
    <col min="14340" max="14340" width="12" style="12" bestFit="1" customWidth="1"/>
    <col min="14341" max="14341" width="30.26953125" style="12" customWidth="1"/>
    <col min="14342" max="14342" width="5.453125" style="12" customWidth="1"/>
    <col min="14343" max="14343" width="2.453125" style="12" customWidth="1"/>
    <col min="14344" max="14344" width="8.7265625" style="12"/>
    <col min="14345" max="14345" width="12" style="12" customWidth="1"/>
    <col min="14346" max="14346" width="12" style="12" bestFit="1" customWidth="1"/>
    <col min="14347" max="14347" width="7.54296875" style="12" bestFit="1" customWidth="1"/>
    <col min="14348" max="14348" width="1.7265625" style="12" customWidth="1"/>
    <col min="14349" max="14349" width="2.453125" style="12" customWidth="1"/>
    <col min="14350" max="14350" width="8.7265625" style="12"/>
    <col min="14351" max="14352" width="12" style="12" customWidth="1"/>
    <col min="14353" max="14353" width="7.54296875" style="12" bestFit="1" customWidth="1"/>
    <col min="14354" max="14354" width="2.1796875" style="12" customWidth="1"/>
    <col min="14355" max="14357" width="9.26953125" style="12" bestFit="1" customWidth="1"/>
    <col min="14358" max="14365" width="9.1796875" style="12" customWidth="1"/>
    <col min="14366" max="14366" width="10.1796875" style="12" customWidth="1"/>
    <col min="14367" max="14367" width="5.81640625" style="12" customWidth="1"/>
    <col min="14368" max="14368" width="8.26953125" style="12" customWidth="1"/>
    <col min="14369" max="14369" width="9.7265625" style="12" customWidth="1"/>
    <col min="14370" max="14370" width="8.1796875" style="12" customWidth="1"/>
    <col min="14371" max="14371" width="6.81640625" style="12" customWidth="1"/>
    <col min="14372" max="14372" width="7.7265625" style="12" customWidth="1"/>
    <col min="14373" max="14379" width="9.1796875" style="12" customWidth="1"/>
    <col min="14380" max="14589" width="8.7265625" style="12"/>
    <col min="14590" max="14591" width="8.81640625" style="12" customWidth="1"/>
    <col min="14592" max="14593" width="0.81640625" style="12" customWidth="1"/>
    <col min="14594" max="14594" width="3.81640625" style="12" customWidth="1"/>
    <col min="14595" max="14595" width="12.1796875" style="12" bestFit="1" customWidth="1"/>
    <col min="14596" max="14596" width="12" style="12" bestFit="1" customWidth="1"/>
    <col min="14597" max="14597" width="30.26953125" style="12" customWidth="1"/>
    <col min="14598" max="14598" width="5.453125" style="12" customWidth="1"/>
    <col min="14599" max="14599" width="2.453125" style="12" customWidth="1"/>
    <col min="14600" max="14600" width="8.7265625" style="12"/>
    <col min="14601" max="14601" width="12" style="12" customWidth="1"/>
    <col min="14602" max="14602" width="12" style="12" bestFit="1" customWidth="1"/>
    <col min="14603" max="14603" width="7.54296875" style="12" bestFit="1" customWidth="1"/>
    <col min="14604" max="14604" width="1.7265625" style="12" customWidth="1"/>
    <col min="14605" max="14605" width="2.453125" style="12" customWidth="1"/>
    <col min="14606" max="14606" width="8.7265625" style="12"/>
    <col min="14607" max="14608" width="12" style="12" customWidth="1"/>
    <col min="14609" max="14609" width="7.54296875" style="12" bestFit="1" customWidth="1"/>
    <col min="14610" max="14610" width="2.1796875" style="12" customWidth="1"/>
    <col min="14611" max="14613" width="9.26953125" style="12" bestFit="1" customWidth="1"/>
    <col min="14614" max="14621" width="9.1796875" style="12" customWidth="1"/>
    <col min="14622" max="14622" width="10.1796875" style="12" customWidth="1"/>
    <col min="14623" max="14623" width="5.81640625" style="12" customWidth="1"/>
    <col min="14624" max="14624" width="8.26953125" style="12" customWidth="1"/>
    <col min="14625" max="14625" width="9.7265625" style="12" customWidth="1"/>
    <col min="14626" max="14626" width="8.1796875" style="12" customWidth="1"/>
    <col min="14627" max="14627" width="6.81640625" style="12" customWidth="1"/>
    <col min="14628" max="14628" width="7.7265625" style="12" customWidth="1"/>
    <col min="14629" max="14635" width="9.1796875" style="12" customWidth="1"/>
    <col min="14636" max="14845" width="8.7265625" style="12"/>
    <col min="14846" max="14847" width="8.81640625" style="12" customWidth="1"/>
    <col min="14848" max="14849" width="0.81640625" style="12" customWidth="1"/>
    <col min="14850" max="14850" width="3.81640625" style="12" customWidth="1"/>
    <col min="14851" max="14851" width="12.1796875" style="12" bestFit="1" customWidth="1"/>
    <col min="14852" max="14852" width="12" style="12" bestFit="1" customWidth="1"/>
    <col min="14853" max="14853" width="30.26953125" style="12" customWidth="1"/>
    <col min="14854" max="14854" width="5.453125" style="12" customWidth="1"/>
    <col min="14855" max="14855" width="2.453125" style="12" customWidth="1"/>
    <col min="14856" max="14856" width="8.7265625" style="12"/>
    <col min="14857" max="14857" width="12" style="12" customWidth="1"/>
    <col min="14858" max="14858" width="12" style="12" bestFit="1" customWidth="1"/>
    <col min="14859" max="14859" width="7.54296875" style="12" bestFit="1" customWidth="1"/>
    <col min="14860" max="14860" width="1.7265625" style="12" customWidth="1"/>
    <col min="14861" max="14861" width="2.453125" style="12" customWidth="1"/>
    <col min="14862" max="14862" width="8.7265625" style="12"/>
    <col min="14863" max="14864" width="12" style="12" customWidth="1"/>
    <col min="14865" max="14865" width="7.54296875" style="12" bestFit="1" customWidth="1"/>
    <col min="14866" max="14866" width="2.1796875" style="12" customWidth="1"/>
    <col min="14867" max="14869" width="9.26953125" style="12" bestFit="1" customWidth="1"/>
    <col min="14870" max="14877" width="9.1796875" style="12" customWidth="1"/>
    <col min="14878" max="14878" width="10.1796875" style="12" customWidth="1"/>
    <col min="14879" max="14879" width="5.81640625" style="12" customWidth="1"/>
    <col min="14880" max="14880" width="8.26953125" style="12" customWidth="1"/>
    <col min="14881" max="14881" width="9.7265625" style="12" customWidth="1"/>
    <col min="14882" max="14882" width="8.1796875" style="12" customWidth="1"/>
    <col min="14883" max="14883" width="6.81640625" style="12" customWidth="1"/>
    <col min="14884" max="14884" width="7.7265625" style="12" customWidth="1"/>
    <col min="14885" max="14891" width="9.1796875" style="12" customWidth="1"/>
    <col min="14892" max="15101" width="8.7265625" style="12"/>
    <col min="15102" max="15103" width="8.81640625" style="12" customWidth="1"/>
    <col min="15104" max="15105" width="0.81640625" style="12" customWidth="1"/>
    <col min="15106" max="15106" width="3.81640625" style="12" customWidth="1"/>
    <col min="15107" max="15107" width="12.1796875" style="12" bestFit="1" customWidth="1"/>
    <col min="15108" max="15108" width="12" style="12" bestFit="1" customWidth="1"/>
    <col min="15109" max="15109" width="30.26953125" style="12" customWidth="1"/>
    <col min="15110" max="15110" width="5.453125" style="12" customWidth="1"/>
    <col min="15111" max="15111" width="2.453125" style="12" customWidth="1"/>
    <col min="15112" max="15112" width="8.7265625" style="12"/>
    <col min="15113" max="15113" width="12" style="12" customWidth="1"/>
    <col min="15114" max="15114" width="12" style="12" bestFit="1" customWidth="1"/>
    <col min="15115" max="15115" width="7.54296875" style="12" bestFit="1" customWidth="1"/>
    <col min="15116" max="15116" width="1.7265625" style="12" customWidth="1"/>
    <col min="15117" max="15117" width="2.453125" style="12" customWidth="1"/>
    <col min="15118" max="15118" width="8.7265625" style="12"/>
    <col min="15119" max="15120" width="12" style="12" customWidth="1"/>
    <col min="15121" max="15121" width="7.54296875" style="12" bestFit="1" customWidth="1"/>
    <col min="15122" max="15122" width="2.1796875" style="12" customWidth="1"/>
    <col min="15123" max="15125" width="9.26953125" style="12" bestFit="1" customWidth="1"/>
    <col min="15126" max="15133" width="9.1796875" style="12" customWidth="1"/>
    <col min="15134" max="15134" width="10.1796875" style="12" customWidth="1"/>
    <col min="15135" max="15135" width="5.81640625" style="12" customWidth="1"/>
    <col min="15136" max="15136" width="8.26953125" style="12" customWidth="1"/>
    <col min="15137" max="15137" width="9.7265625" style="12" customWidth="1"/>
    <col min="15138" max="15138" width="8.1796875" style="12" customWidth="1"/>
    <col min="15139" max="15139" width="6.81640625" style="12" customWidth="1"/>
    <col min="15140" max="15140" width="7.7265625" style="12" customWidth="1"/>
    <col min="15141" max="15147" width="9.1796875" style="12" customWidth="1"/>
    <col min="15148" max="15357" width="8.7265625" style="12"/>
    <col min="15358" max="15359" width="8.81640625" style="12" customWidth="1"/>
    <col min="15360" max="15361" width="0.81640625" style="12" customWidth="1"/>
    <col min="15362" max="15362" width="3.81640625" style="12" customWidth="1"/>
    <col min="15363" max="15363" width="12.1796875" style="12" bestFit="1" customWidth="1"/>
    <col min="15364" max="15364" width="12" style="12" bestFit="1" customWidth="1"/>
    <col min="15365" max="15365" width="30.26953125" style="12" customWidth="1"/>
    <col min="15366" max="15366" width="5.453125" style="12" customWidth="1"/>
    <col min="15367" max="15367" width="2.453125" style="12" customWidth="1"/>
    <col min="15368" max="15368" width="8.7265625" style="12"/>
    <col min="15369" max="15369" width="12" style="12" customWidth="1"/>
    <col min="15370" max="15370" width="12" style="12" bestFit="1" customWidth="1"/>
    <col min="15371" max="15371" width="7.54296875" style="12" bestFit="1" customWidth="1"/>
    <col min="15372" max="15372" width="1.7265625" style="12" customWidth="1"/>
    <col min="15373" max="15373" width="2.453125" style="12" customWidth="1"/>
    <col min="15374" max="15374" width="8.7265625" style="12"/>
    <col min="15375" max="15376" width="12" style="12" customWidth="1"/>
    <col min="15377" max="15377" width="7.54296875" style="12" bestFit="1" customWidth="1"/>
    <col min="15378" max="15378" width="2.1796875" style="12" customWidth="1"/>
    <col min="15379" max="15381" width="9.26953125" style="12" bestFit="1" customWidth="1"/>
    <col min="15382" max="15389" width="9.1796875" style="12" customWidth="1"/>
    <col min="15390" max="15390" width="10.1796875" style="12" customWidth="1"/>
    <col min="15391" max="15391" width="5.81640625" style="12" customWidth="1"/>
    <col min="15392" max="15392" width="8.26953125" style="12" customWidth="1"/>
    <col min="15393" max="15393" width="9.7265625" style="12" customWidth="1"/>
    <col min="15394" max="15394" width="8.1796875" style="12" customWidth="1"/>
    <col min="15395" max="15395" width="6.81640625" style="12" customWidth="1"/>
    <col min="15396" max="15396" width="7.7265625" style="12" customWidth="1"/>
    <col min="15397" max="15403" width="9.1796875" style="12" customWidth="1"/>
    <col min="15404" max="15613" width="8.7265625" style="12"/>
    <col min="15614" max="15615" width="8.81640625" style="12" customWidth="1"/>
    <col min="15616" max="15617" width="0.81640625" style="12" customWidth="1"/>
    <col min="15618" max="15618" width="3.81640625" style="12" customWidth="1"/>
    <col min="15619" max="15619" width="12.1796875" style="12" bestFit="1" customWidth="1"/>
    <col min="15620" max="15620" width="12" style="12" bestFit="1" customWidth="1"/>
    <col min="15621" max="15621" width="30.26953125" style="12" customWidth="1"/>
    <col min="15622" max="15622" width="5.453125" style="12" customWidth="1"/>
    <col min="15623" max="15623" width="2.453125" style="12" customWidth="1"/>
    <col min="15624" max="15624" width="8.7265625" style="12"/>
    <col min="15625" max="15625" width="12" style="12" customWidth="1"/>
    <col min="15626" max="15626" width="12" style="12" bestFit="1" customWidth="1"/>
    <col min="15627" max="15627" width="7.54296875" style="12" bestFit="1" customWidth="1"/>
    <col min="15628" max="15628" width="1.7265625" style="12" customWidth="1"/>
    <col min="15629" max="15629" width="2.453125" style="12" customWidth="1"/>
    <col min="15630" max="15630" width="8.7265625" style="12"/>
    <col min="15631" max="15632" width="12" style="12" customWidth="1"/>
    <col min="15633" max="15633" width="7.54296875" style="12" bestFit="1" customWidth="1"/>
    <col min="15634" max="15634" width="2.1796875" style="12" customWidth="1"/>
    <col min="15635" max="15637" width="9.26953125" style="12" bestFit="1" customWidth="1"/>
    <col min="15638" max="15645" width="9.1796875" style="12" customWidth="1"/>
    <col min="15646" max="15646" width="10.1796875" style="12" customWidth="1"/>
    <col min="15647" max="15647" width="5.81640625" style="12" customWidth="1"/>
    <col min="15648" max="15648" width="8.26953125" style="12" customWidth="1"/>
    <col min="15649" max="15649" width="9.7265625" style="12" customWidth="1"/>
    <col min="15650" max="15650" width="8.1796875" style="12" customWidth="1"/>
    <col min="15651" max="15651" width="6.81640625" style="12" customWidth="1"/>
    <col min="15652" max="15652" width="7.7265625" style="12" customWidth="1"/>
    <col min="15653" max="15659" width="9.1796875" style="12" customWidth="1"/>
    <col min="15660" max="15869" width="8.7265625" style="12"/>
    <col min="15870" max="15871" width="8.81640625" style="12" customWidth="1"/>
    <col min="15872" max="15873" width="0.81640625" style="12" customWidth="1"/>
    <col min="15874" max="15874" width="3.81640625" style="12" customWidth="1"/>
    <col min="15875" max="15875" width="12.1796875" style="12" bestFit="1" customWidth="1"/>
    <col min="15876" max="15876" width="12" style="12" bestFit="1" customWidth="1"/>
    <col min="15877" max="15877" width="30.26953125" style="12" customWidth="1"/>
    <col min="15878" max="15878" width="5.453125" style="12" customWidth="1"/>
    <col min="15879" max="15879" width="2.453125" style="12" customWidth="1"/>
    <col min="15880" max="15880" width="8.7265625" style="12"/>
    <col min="15881" max="15881" width="12" style="12" customWidth="1"/>
    <col min="15882" max="15882" width="12" style="12" bestFit="1" customWidth="1"/>
    <col min="15883" max="15883" width="7.54296875" style="12" bestFit="1" customWidth="1"/>
    <col min="15884" max="15884" width="1.7265625" style="12" customWidth="1"/>
    <col min="15885" max="15885" width="2.453125" style="12" customWidth="1"/>
    <col min="15886" max="15886" width="8.7265625" style="12"/>
    <col min="15887" max="15888" width="12" style="12" customWidth="1"/>
    <col min="15889" max="15889" width="7.54296875" style="12" bestFit="1" customWidth="1"/>
    <col min="15890" max="15890" width="2.1796875" style="12" customWidth="1"/>
    <col min="15891" max="15893" width="9.26953125" style="12" bestFit="1" customWidth="1"/>
    <col min="15894" max="15901" width="9.1796875" style="12" customWidth="1"/>
    <col min="15902" max="15902" width="10.1796875" style="12" customWidth="1"/>
    <col min="15903" max="15903" width="5.81640625" style="12" customWidth="1"/>
    <col min="15904" max="15904" width="8.26953125" style="12" customWidth="1"/>
    <col min="15905" max="15905" width="9.7265625" style="12" customWidth="1"/>
    <col min="15906" max="15906" width="8.1796875" style="12" customWidth="1"/>
    <col min="15907" max="15907" width="6.81640625" style="12" customWidth="1"/>
    <col min="15908" max="15908" width="7.7265625" style="12" customWidth="1"/>
    <col min="15909" max="15915" width="9.1796875" style="12" customWidth="1"/>
    <col min="15916" max="16125" width="8.7265625" style="12"/>
    <col min="16126" max="16127" width="8.81640625" style="12" customWidth="1"/>
    <col min="16128" max="16129" width="0.81640625" style="12" customWidth="1"/>
    <col min="16130" max="16130" width="3.81640625" style="12" customWidth="1"/>
    <col min="16131" max="16131" width="12.1796875" style="12" bestFit="1" customWidth="1"/>
    <col min="16132" max="16132" width="12" style="12" bestFit="1" customWidth="1"/>
    <col min="16133" max="16133" width="30.26953125" style="12" customWidth="1"/>
    <col min="16134" max="16134" width="5.453125" style="12" customWidth="1"/>
    <col min="16135" max="16135" width="2.453125" style="12" customWidth="1"/>
    <col min="16136" max="16136" width="8.7265625" style="12"/>
    <col min="16137" max="16137" width="12" style="12" customWidth="1"/>
    <col min="16138" max="16138" width="12" style="12" bestFit="1" customWidth="1"/>
    <col min="16139" max="16139" width="7.54296875" style="12" bestFit="1" customWidth="1"/>
    <col min="16140" max="16140" width="1.7265625" style="12" customWidth="1"/>
    <col min="16141" max="16141" width="2.453125" style="12" customWidth="1"/>
    <col min="16142" max="16142" width="8.7265625" style="12"/>
    <col min="16143" max="16144" width="12" style="12" customWidth="1"/>
    <col min="16145" max="16145" width="7.54296875" style="12" bestFit="1" customWidth="1"/>
    <col min="16146" max="16146" width="2.1796875" style="12" customWidth="1"/>
    <col min="16147" max="16149" width="9.26953125" style="12" bestFit="1" customWidth="1"/>
    <col min="16150" max="16157" width="9.1796875" style="12" customWidth="1"/>
    <col min="16158" max="16158" width="10.1796875" style="12" customWidth="1"/>
    <col min="16159" max="16159" width="5.81640625" style="12" customWidth="1"/>
    <col min="16160" max="16160" width="8.26953125" style="12" customWidth="1"/>
    <col min="16161" max="16161" width="9.7265625" style="12" customWidth="1"/>
    <col min="16162" max="16162" width="8.1796875" style="12" customWidth="1"/>
    <col min="16163" max="16163" width="6.81640625" style="12" customWidth="1"/>
    <col min="16164" max="16164" width="7.7265625" style="12" customWidth="1"/>
    <col min="16165" max="16171" width="9.1796875" style="12" customWidth="1"/>
    <col min="16172" max="16381" width="8.7265625" style="12"/>
    <col min="16382" max="16384" width="8.7265625" style="12" customWidth="1"/>
  </cols>
  <sheetData>
    <row r="1" spans="1:35" ht="4.5" customHeight="1" thickBot="1" x14ac:dyDescent="0.4">
      <c r="A1" s="17"/>
    </row>
    <row r="2" spans="1:35" ht="86" customHeight="1" x14ac:dyDescent="0.35">
      <c r="B2" s="127" t="str">
        <f>"Round "&amp;Y22&amp;" Statistics"</f>
        <v>Round 7 Statistics</v>
      </c>
      <c r="C2" s="128"/>
      <c r="D2" s="128"/>
      <c r="E2" s="128"/>
      <c r="F2" s="128"/>
      <c r="G2" s="128"/>
      <c r="H2" s="128"/>
      <c r="I2" s="128"/>
      <c r="J2" s="128"/>
      <c r="K2" s="128"/>
      <c r="L2" s="128"/>
      <c r="M2" s="128"/>
      <c r="N2" s="128"/>
      <c r="O2" s="128"/>
      <c r="P2" s="128"/>
      <c r="Q2" s="128"/>
      <c r="R2" s="52"/>
      <c r="S2" s="53"/>
      <c r="AI2" s="114" t="s">
        <v>90</v>
      </c>
    </row>
    <row r="3" spans="1:35" x14ac:dyDescent="0.35">
      <c r="B3" s="25"/>
      <c r="C3" s="18"/>
      <c r="D3" s="17"/>
      <c r="E3" s="17"/>
      <c r="F3" s="17"/>
      <c r="R3" s="48"/>
      <c r="AG3" s="57">
        <v>12</v>
      </c>
      <c r="AH3" s="57">
        <f>COUNTIF(Engine!AL$1:AL$90,AG3)</f>
        <v>12</v>
      </c>
      <c r="AI3" s="114" t="s">
        <v>91</v>
      </c>
    </row>
    <row r="4" spans="1:35" x14ac:dyDescent="0.35">
      <c r="B4" s="25"/>
      <c r="C4" s="129" t="s">
        <v>23</v>
      </c>
      <c r="D4" s="129"/>
      <c r="E4" s="17"/>
      <c r="F4" s="17"/>
      <c r="G4" s="32" t="str">
        <f>IF($AI$23=1,Data!Q3,"Standouts")</f>
        <v>Thu  AEST</v>
      </c>
      <c r="H4" s="27"/>
      <c r="I4" s="27"/>
      <c r="J4" s="27"/>
      <c r="K4" s="27"/>
      <c r="L4" s="50"/>
      <c r="M4" s="96" t="str">
        <f>IF($AI$23=1,Data!Q7,"Standouts")</f>
        <v>Sat  AEST</v>
      </c>
      <c r="N4" s="96"/>
      <c r="O4" s="96"/>
      <c r="P4" s="96"/>
      <c r="Q4" s="96"/>
      <c r="R4" s="48"/>
      <c r="AG4" s="57">
        <v>11</v>
      </c>
      <c r="AH4" s="57">
        <f>COUNTIF(Engine!AL$1:AL$90,AG4)</f>
        <v>0</v>
      </c>
      <c r="AI4" s="114" t="s">
        <v>92</v>
      </c>
    </row>
    <row r="5" spans="1:35" x14ac:dyDescent="0.35">
      <c r="B5" s="25"/>
      <c r="C5" s="129"/>
      <c r="D5" s="129"/>
      <c r="E5" s="17"/>
      <c r="F5" s="17"/>
      <c r="G5" s="26"/>
      <c r="H5" s="130"/>
      <c r="K5" s="27"/>
      <c r="M5" s="97"/>
      <c r="N5" s="130"/>
      <c r="Q5" s="96"/>
      <c r="R5" s="48"/>
      <c r="AG5" s="57">
        <v>10</v>
      </c>
      <c r="AH5" s="57">
        <f>COUNTIF(Engine!AL$1:AL$90,AG5)</f>
        <v>0</v>
      </c>
      <c r="AI5" s="114" t="s">
        <v>93</v>
      </c>
    </row>
    <row r="6" spans="1:35" x14ac:dyDescent="0.35">
      <c r="B6" s="25"/>
      <c r="C6" s="19" t="s">
        <v>24</v>
      </c>
      <c r="D6" s="17"/>
      <c r="E6" s="17"/>
      <c r="F6" s="17"/>
      <c r="G6" s="26"/>
      <c r="H6" s="130"/>
      <c r="K6" s="29" t="str">
        <f>ROUND(AE14,1)&amp;"%"</f>
        <v>77.4%</v>
      </c>
      <c r="M6" s="97"/>
      <c r="N6" s="130"/>
      <c r="Q6" s="98" t="str">
        <f>IF(T23&lt;5,"",ROUND(AE10,1)&amp;"%")</f>
        <v>35.8%</v>
      </c>
      <c r="R6" s="48"/>
      <c r="T6" s="57" t="s">
        <v>25</v>
      </c>
      <c r="U6" s="57" t="s">
        <v>26</v>
      </c>
      <c r="V6" s="57" t="s">
        <v>27</v>
      </c>
      <c r="W6" s="57" t="s">
        <v>28</v>
      </c>
      <c r="X6" s="57" t="s">
        <v>29</v>
      </c>
      <c r="Y6" s="57" t="s">
        <v>30</v>
      </c>
      <c r="Z6" s="57" t="s">
        <v>31</v>
      </c>
      <c r="AA6" s="57" t="s">
        <v>32</v>
      </c>
      <c r="AC6" s="57" t="s">
        <v>33</v>
      </c>
      <c r="AD6" s="57" t="s">
        <v>34</v>
      </c>
      <c r="AE6" s="57" t="s">
        <v>29</v>
      </c>
      <c r="AF6" s="57" t="s">
        <v>30</v>
      </c>
      <c r="AG6" s="57">
        <v>9</v>
      </c>
      <c r="AH6" s="57">
        <f>COUNTIF(Engine!AL$1:AL$90,AG6)</f>
        <v>37</v>
      </c>
    </row>
    <row r="7" spans="1:35" ht="12.75" customHeight="1" x14ac:dyDescent="0.35">
      <c r="B7" s="25"/>
      <c r="C7" s="19" t="s">
        <v>35</v>
      </c>
      <c r="D7" s="17"/>
      <c r="E7" s="17"/>
      <c r="F7" s="17"/>
      <c r="G7" s="51"/>
      <c r="H7" s="130"/>
      <c r="I7" s="50"/>
      <c r="J7" s="50"/>
      <c r="K7" s="49"/>
      <c r="M7" s="97"/>
      <c r="N7" s="130"/>
      <c r="O7" s="50"/>
      <c r="P7" s="50"/>
      <c r="Q7" s="98"/>
      <c r="R7" s="48"/>
      <c r="S7" s="57">
        <v>8</v>
      </c>
      <c r="T7" s="57">
        <f>IF(T23&lt;8,"",COUNTIF(Engine!P1:P90,$AA$24))</f>
        <v>41</v>
      </c>
      <c r="U7" s="57">
        <f>IF(T23&lt;8,"",COUNTIF(Engine!P1:P90,$AA$25))</f>
        <v>12</v>
      </c>
      <c r="V7" s="57">
        <f>IF(T23&lt;8,"",COUNTIF(Engine!Q1:Q90,AA24))</f>
        <v>3</v>
      </c>
      <c r="W7" s="57">
        <f>IF(T23&lt;8,"",COUNTIF(Engine!Q1:Q90,AA25))</f>
        <v>0</v>
      </c>
      <c r="X7" s="57">
        <f>IF(T23&lt;8,"",T7/($V$22)*100)</f>
        <v>77.358490566037744</v>
      </c>
      <c r="Y7" s="57">
        <f>IF(T23&lt;8,"",100-X7)</f>
        <v>22.641509433962256</v>
      </c>
      <c r="Z7" s="57">
        <f>IF(T23&lt;8,"",V7/$V$23*100)</f>
        <v>5.6603773584905666</v>
      </c>
      <c r="AA7" s="57">
        <f>IF(T23&lt;8,"",W7/$V$23*100)</f>
        <v>0</v>
      </c>
      <c r="AC7" s="57">
        <f t="shared" ref="AC7:AD14" si="0">IF($AI$23=1,T7,V7)</f>
        <v>41</v>
      </c>
      <c r="AD7" s="57">
        <f t="shared" si="0"/>
        <v>12</v>
      </c>
      <c r="AE7" s="57">
        <f t="shared" ref="AE7:AF14" si="1">IF($AI$23=1,X7,Z7)</f>
        <v>77.358490566037744</v>
      </c>
      <c r="AF7" s="57">
        <f t="shared" si="1"/>
        <v>22.641509433962256</v>
      </c>
      <c r="AG7" s="57">
        <v>8</v>
      </c>
      <c r="AH7" s="57">
        <f>COUNTIF(Engine!AL$1:AL$90,AG7)</f>
        <v>0</v>
      </c>
      <c r="AI7" s="114" t="s">
        <v>100</v>
      </c>
    </row>
    <row r="8" spans="1:35" ht="12.5" customHeight="1" x14ac:dyDescent="0.35">
      <c r="B8" s="34"/>
      <c r="C8" s="18"/>
      <c r="D8" s="17"/>
      <c r="E8" s="17"/>
      <c r="F8" s="17"/>
      <c r="G8" s="26"/>
      <c r="H8" s="130"/>
      <c r="K8" s="27"/>
      <c r="M8" s="97"/>
      <c r="N8" s="133"/>
      <c r="Q8" s="98"/>
      <c r="R8" s="131"/>
      <c r="S8" s="57">
        <v>7</v>
      </c>
      <c r="T8" s="57">
        <f>IF(T23&lt;7,"",COUNTIF(Engine!O1:O90,$Z$24))</f>
        <v>4</v>
      </c>
      <c r="U8" s="57">
        <f>IF(T23&lt;7,"",COUNTIF(Engine!O1:O90,$Z$25))</f>
        <v>49</v>
      </c>
      <c r="V8" s="57">
        <f>IF(T23&lt;7,"",COUNTIF(Engine!Q1:Q90,Z24))</f>
        <v>0</v>
      </c>
      <c r="W8" s="57">
        <f>IF(T23&lt;7,"",COUNTIF(Engine!Q1:Q90,Z25))</f>
        <v>1</v>
      </c>
      <c r="X8" s="57">
        <f>IF(T23&lt;7,"",T8/($V$22)*100)</f>
        <v>7.5471698113207548</v>
      </c>
      <c r="Y8" s="57">
        <f>IF(T23&lt;7,"",100-X8)</f>
        <v>92.452830188679243</v>
      </c>
      <c r="Z8" s="57">
        <f>IF(T23&lt;7,"",V8/$V$23*100)</f>
        <v>0</v>
      </c>
      <c r="AA8" s="57">
        <f>IF(T23&lt;7,"",W8/$V$23*100)</f>
        <v>1.8867924528301887</v>
      </c>
      <c r="AC8" s="57">
        <f t="shared" si="0"/>
        <v>4</v>
      </c>
      <c r="AD8" s="57">
        <f t="shared" si="0"/>
        <v>49</v>
      </c>
      <c r="AE8" s="57">
        <f t="shared" si="1"/>
        <v>7.5471698113207548</v>
      </c>
      <c r="AF8" s="57">
        <f t="shared" si="1"/>
        <v>92.452830188679243</v>
      </c>
      <c r="AG8" s="57">
        <v>7</v>
      </c>
      <c r="AH8" s="57">
        <f>COUNTIF(Engine!AL$1:AL$90,AG8)</f>
        <v>0</v>
      </c>
      <c r="AI8" s="114" t="s">
        <v>90</v>
      </c>
    </row>
    <row r="9" spans="1:35" ht="12.75" customHeight="1" x14ac:dyDescent="0.35">
      <c r="B9" s="34"/>
      <c r="C9" s="18"/>
      <c r="D9" s="17"/>
      <c r="E9" s="17"/>
      <c r="F9" s="17"/>
      <c r="G9" s="26"/>
      <c r="H9" s="130"/>
      <c r="K9" s="29" t="str">
        <f>ROUND(AF14,1)&amp;"%"</f>
        <v>22.6%</v>
      </c>
      <c r="L9" s="31"/>
      <c r="M9" s="97"/>
      <c r="N9" s="133"/>
      <c r="Q9" s="98" t="str">
        <f>IF(T23&lt;5,"",ROUND(AF10,1)&amp;"%")</f>
        <v>64.2%</v>
      </c>
      <c r="R9" s="131"/>
      <c r="S9" s="57">
        <v>6</v>
      </c>
      <c r="T9" s="57">
        <f>IF(T23&lt;6,"",COUNTIF(Engine!N1:N90,$Y$24))</f>
        <v>12</v>
      </c>
      <c r="U9" s="57">
        <f>IF(T23&lt;6,"",COUNTIF(Engine!N1:N90,$Y$25))</f>
        <v>41</v>
      </c>
      <c r="V9" s="57">
        <f>IF(T23&lt;6,"",COUNTIF(Engine!Q1:Q90,Y24))</f>
        <v>0</v>
      </c>
      <c r="W9" s="57">
        <f>IF(T23&lt;6,"",COUNTIF(Engine!Q1:Q90,Y25))</f>
        <v>0</v>
      </c>
      <c r="X9" s="57">
        <f>IF(T23&lt;6,"",T9/($V$22)*100)</f>
        <v>22.641509433962266</v>
      </c>
      <c r="Y9" s="57">
        <f>IF(T23&lt;6,"",100-X9)</f>
        <v>77.35849056603773</v>
      </c>
      <c r="Z9" s="57">
        <f>IF(T23&lt;6,"",V9/$V$23*100)</f>
        <v>0</v>
      </c>
      <c r="AA9" s="57">
        <f>IF(T23&lt;6,"",W9/$V$23*100)</f>
        <v>0</v>
      </c>
      <c r="AC9" s="57">
        <f t="shared" si="0"/>
        <v>12</v>
      </c>
      <c r="AD9" s="57">
        <f t="shared" si="0"/>
        <v>41</v>
      </c>
      <c r="AE9" s="57">
        <f t="shared" si="1"/>
        <v>22.641509433962266</v>
      </c>
      <c r="AF9" s="57">
        <f t="shared" si="1"/>
        <v>77.35849056603773</v>
      </c>
      <c r="AG9" s="57">
        <v>6</v>
      </c>
      <c r="AH9" s="57">
        <f>COUNTIF(Engine!AL$1:AL$90,AG9)</f>
        <v>0</v>
      </c>
      <c r="AI9" s="114" t="s">
        <v>91</v>
      </c>
    </row>
    <row r="10" spans="1:35" ht="14" customHeight="1" x14ac:dyDescent="0.35">
      <c r="B10" s="34"/>
      <c r="C10" s="47" t="s">
        <v>36</v>
      </c>
      <c r="D10" s="35"/>
      <c r="E10" s="122" t="s">
        <v>45</v>
      </c>
      <c r="F10" s="17"/>
      <c r="G10" s="26"/>
      <c r="H10" s="130"/>
      <c r="K10" s="27"/>
      <c r="L10" s="15"/>
      <c r="M10" s="97"/>
      <c r="N10" s="133"/>
      <c r="Q10" s="98"/>
      <c r="R10" s="131"/>
      <c r="S10" s="57">
        <v>5</v>
      </c>
      <c r="T10" s="57">
        <f>IF(T23&lt;5,"",COUNTIF(Engine!M1:M90,$X$24))</f>
        <v>19</v>
      </c>
      <c r="U10" s="57">
        <f>IF(T23&lt;5,"",COUNTIF(Engine!M1:M90,$X$25))</f>
        <v>34</v>
      </c>
      <c r="V10" s="57">
        <f>IF(T23&lt;5,"",COUNTIF(Engine!Q1:Q90,X24))</f>
        <v>0</v>
      </c>
      <c r="W10" s="57">
        <f>IF(T23&lt;5,"",COUNTIF(Engine!Q1:Q90,X25))</f>
        <v>0</v>
      </c>
      <c r="X10" s="57">
        <f>IF(T23&lt;5,"",T10/($V$22)*100)</f>
        <v>35.849056603773583</v>
      </c>
      <c r="Y10" s="57">
        <f>IF(T23&lt;5,"",100-X10)</f>
        <v>64.15094339622641</v>
      </c>
      <c r="Z10" s="57">
        <f>IF(T23&lt;5,"",V10/$V$23*100)</f>
        <v>0</v>
      </c>
      <c r="AA10" s="57">
        <f>IF(T23&lt;5,"",W10/$V$23*100)</f>
        <v>0</v>
      </c>
      <c r="AC10" s="57">
        <f t="shared" si="0"/>
        <v>19</v>
      </c>
      <c r="AD10" s="57">
        <f t="shared" si="0"/>
        <v>34</v>
      </c>
      <c r="AE10" s="57">
        <f t="shared" si="1"/>
        <v>35.849056603773583</v>
      </c>
      <c r="AF10" s="57">
        <f t="shared" si="1"/>
        <v>64.15094339622641</v>
      </c>
      <c r="AG10" s="57">
        <v>5</v>
      </c>
      <c r="AH10" s="57">
        <f>COUNTIF(Engine!AL$1:AL$90,AG10)</f>
        <v>4</v>
      </c>
      <c r="AI10" s="114" t="s">
        <v>51</v>
      </c>
    </row>
    <row r="11" spans="1:35" ht="12.75" customHeight="1" x14ac:dyDescent="0.35">
      <c r="B11" s="34"/>
      <c r="C11" s="47"/>
      <c r="D11" s="35"/>
      <c r="E11" s="35"/>
      <c r="F11" s="17"/>
      <c r="G11" s="26"/>
      <c r="H11" s="26"/>
      <c r="I11" s="26"/>
      <c r="J11" s="26"/>
      <c r="K11" s="27"/>
      <c r="L11" s="15"/>
      <c r="M11" s="102"/>
      <c r="N11" s="26"/>
      <c r="O11" s="26"/>
      <c r="P11" s="26"/>
      <c r="Q11" s="104"/>
      <c r="R11" s="131"/>
      <c r="S11" s="57">
        <v>4</v>
      </c>
      <c r="T11" s="57">
        <f>COUNTIF(Engine!L1:L90,$W24)</f>
        <v>10</v>
      </c>
      <c r="U11" s="57">
        <f>COUNTIF(Engine!L1:L90,$W$25)</f>
        <v>43</v>
      </c>
      <c r="V11" s="57">
        <f>COUNTIF(Engine!Q1:Q90,W24)</f>
        <v>0</v>
      </c>
      <c r="W11" s="57">
        <f>COUNTIF(Engine!Q1:Q90,W25)</f>
        <v>2</v>
      </c>
      <c r="X11" s="57">
        <f>T11/($V$22)*100</f>
        <v>18.867924528301888</v>
      </c>
      <c r="Y11" s="57">
        <f>100-X11</f>
        <v>81.132075471698116</v>
      </c>
      <c r="Z11" s="57">
        <f t="shared" ref="Z11:AA14" si="2">V11/$V$23*100</f>
        <v>0</v>
      </c>
      <c r="AA11" s="57">
        <f t="shared" si="2"/>
        <v>3.7735849056603774</v>
      </c>
      <c r="AC11" s="57">
        <f t="shared" si="0"/>
        <v>10</v>
      </c>
      <c r="AD11" s="57">
        <f t="shared" si="0"/>
        <v>43</v>
      </c>
      <c r="AE11" s="57">
        <f t="shared" si="1"/>
        <v>18.867924528301888</v>
      </c>
      <c r="AF11" s="57">
        <f t="shared" si="1"/>
        <v>81.132075471698116</v>
      </c>
      <c r="AG11" s="57">
        <v>4</v>
      </c>
      <c r="AH11" s="57">
        <f>COUNTIF(Engine!AL$1:AL$90,AG11)</f>
        <v>0</v>
      </c>
      <c r="AI11" s="114" t="s">
        <v>101</v>
      </c>
    </row>
    <row r="12" spans="1:35" x14ac:dyDescent="0.35">
      <c r="B12" s="34"/>
      <c r="C12" s="132" t="s">
        <v>37</v>
      </c>
      <c r="D12" s="132"/>
      <c r="E12" s="132"/>
      <c r="F12" s="17"/>
      <c r="G12" s="15"/>
      <c r="I12" s="30"/>
      <c r="J12" s="30"/>
      <c r="K12" s="15"/>
      <c r="L12" s="15"/>
      <c r="M12" s="99"/>
      <c r="O12" s="30"/>
      <c r="P12" s="30"/>
      <c r="Q12" s="100"/>
      <c r="R12" s="131"/>
      <c r="S12" s="57">
        <v>3</v>
      </c>
      <c r="T12" s="57">
        <f>COUNTIF(Engine!K1:K90,$V$24)</f>
        <v>2</v>
      </c>
      <c r="U12" s="57">
        <f>COUNTIF(Engine!K1:K90,$V$25)</f>
        <v>51</v>
      </c>
      <c r="V12" s="57">
        <f>COUNTIF(Engine!Q1:Q90,V24)</f>
        <v>0</v>
      </c>
      <c r="W12" s="57">
        <f>COUNTIF(Engine!Q1:Q90,V25)</f>
        <v>32</v>
      </c>
      <c r="X12" s="57">
        <f>T12/($V$22)*100</f>
        <v>3.7735849056603774</v>
      </c>
      <c r="Y12" s="57">
        <f>100-X12</f>
        <v>96.226415094339629</v>
      </c>
      <c r="Z12" s="57">
        <f t="shared" si="2"/>
        <v>0</v>
      </c>
      <c r="AA12" s="57">
        <f t="shared" si="2"/>
        <v>60.377358490566039</v>
      </c>
      <c r="AC12" s="57">
        <f t="shared" si="0"/>
        <v>2</v>
      </c>
      <c r="AD12" s="57">
        <f t="shared" si="0"/>
        <v>51</v>
      </c>
      <c r="AE12" s="57">
        <f t="shared" si="1"/>
        <v>3.7735849056603774</v>
      </c>
      <c r="AF12" s="57">
        <f t="shared" si="1"/>
        <v>96.226415094339629</v>
      </c>
      <c r="AG12" s="57">
        <v>3</v>
      </c>
      <c r="AH12" s="57">
        <f>COUNTIF(Engine!AL$1:AL$90,AG12)</f>
        <v>0</v>
      </c>
      <c r="AI12" s="114" t="s">
        <v>94</v>
      </c>
    </row>
    <row r="13" spans="1:35" ht="12.75" customHeight="1" x14ac:dyDescent="0.35">
      <c r="B13" s="34"/>
      <c r="C13" s="47"/>
      <c r="D13" s="35"/>
      <c r="E13" s="35"/>
      <c r="F13" s="17"/>
      <c r="G13" s="32" t="str">
        <f>IF($AI$23=1,Data!Q4,"")</f>
        <v>Fri  AEST</v>
      </c>
      <c r="H13" s="26"/>
      <c r="I13" s="26"/>
      <c r="J13" s="26"/>
      <c r="K13" s="27"/>
      <c r="L13" s="15"/>
      <c r="M13" s="96" t="str">
        <f>IF($AI$23=1,Data!Q8,"")</f>
        <v>Sun  AEST</v>
      </c>
      <c r="N13" s="26"/>
      <c r="O13" s="26"/>
      <c r="P13" s="26"/>
      <c r="Q13" s="98"/>
      <c r="R13" s="131"/>
      <c r="S13" s="57">
        <v>2</v>
      </c>
      <c r="T13" s="57">
        <f>COUNTIF(Engine!J1:J90,$U$24)</f>
        <v>48</v>
      </c>
      <c r="U13" s="57">
        <f>COUNTIF(Engine!J1:J90,$U$25)</f>
        <v>5</v>
      </c>
      <c r="V13" s="57">
        <f>COUNTIF(Engine!Q1:Q90,U24)</f>
        <v>9</v>
      </c>
      <c r="W13" s="57">
        <f>COUNTIF(Engine!Q1:Q90,U25)</f>
        <v>0</v>
      </c>
      <c r="X13" s="57">
        <f>T13/($V$22)*100</f>
        <v>90.566037735849065</v>
      </c>
      <c r="Y13" s="57">
        <f>100-X13</f>
        <v>9.4339622641509351</v>
      </c>
      <c r="Z13" s="57">
        <f t="shared" si="2"/>
        <v>16.981132075471699</v>
      </c>
      <c r="AA13" s="57">
        <f t="shared" si="2"/>
        <v>0</v>
      </c>
      <c r="AC13" s="57">
        <f t="shared" si="0"/>
        <v>48</v>
      </c>
      <c r="AD13" s="57">
        <f t="shared" si="0"/>
        <v>5</v>
      </c>
      <c r="AE13" s="57">
        <f t="shared" si="1"/>
        <v>90.566037735849065</v>
      </c>
      <c r="AF13" s="57">
        <f t="shared" si="1"/>
        <v>9.4339622641509351</v>
      </c>
      <c r="AG13" s="57">
        <v>2</v>
      </c>
      <c r="AH13" s="57">
        <f>COUNTIF(Engine!AL$1:AL$90,AG13)</f>
        <v>0</v>
      </c>
      <c r="AI13" s="114" t="s">
        <v>95</v>
      </c>
    </row>
    <row r="14" spans="1:35" ht="12.75" customHeight="1" x14ac:dyDescent="0.35">
      <c r="B14" s="46" t="s">
        <v>19</v>
      </c>
      <c r="C14" s="45"/>
      <c r="D14" s="37"/>
      <c r="E14" s="35"/>
      <c r="F14" s="17"/>
      <c r="G14" s="26"/>
      <c r="H14" s="135"/>
      <c r="K14" s="27"/>
      <c r="L14" s="15"/>
      <c r="M14" s="96"/>
      <c r="N14" s="130"/>
      <c r="Q14" s="98"/>
      <c r="R14" s="4"/>
      <c r="S14" s="57">
        <v>1</v>
      </c>
      <c r="T14" s="57">
        <f>COUNTIF(Engine!I1:I90,$T$24)</f>
        <v>41</v>
      </c>
      <c r="U14" s="57">
        <f>COUNTIF(Engine!I1:I90,$T$25)</f>
        <v>12</v>
      </c>
      <c r="V14" s="57">
        <f>COUNTIF(Engine!Q1:Q90,T24)</f>
        <v>4</v>
      </c>
      <c r="W14" s="57">
        <f>COUNTIF(Engine!Q1:Q90,T25)</f>
        <v>2</v>
      </c>
      <c r="X14" s="57">
        <f>T14/($V$22)*100</f>
        <v>77.358490566037744</v>
      </c>
      <c r="Y14" s="57">
        <f>100-X14</f>
        <v>22.641509433962256</v>
      </c>
      <c r="Z14" s="57">
        <f t="shared" si="2"/>
        <v>7.5471698113207548</v>
      </c>
      <c r="AA14" s="57">
        <f t="shared" si="2"/>
        <v>3.7735849056603774</v>
      </c>
      <c r="AC14" s="57">
        <f t="shared" si="0"/>
        <v>41</v>
      </c>
      <c r="AD14" s="57">
        <f t="shared" si="0"/>
        <v>12</v>
      </c>
      <c r="AE14" s="57">
        <f t="shared" si="1"/>
        <v>77.358490566037744</v>
      </c>
      <c r="AF14" s="57">
        <f t="shared" si="1"/>
        <v>22.641509433962256</v>
      </c>
      <c r="AG14" s="57">
        <v>1</v>
      </c>
      <c r="AH14" s="57">
        <f>COUNTIF(Engine!AL$1:AL$90,AG14)</f>
        <v>0</v>
      </c>
      <c r="AI14" s="114" t="s">
        <v>96</v>
      </c>
    </row>
    <row r="15" spans="1:35" ht="12.75" customHeight="1" x14ac:dyDescent="0.35">
      <c r="B15" s="55"/>
      <c r="C15" s="44">
        <f>IF(T$23&gt;7,12,"")</f>
        <v>12</v>
      </c>
      <c r="D15" s="35"/>
      <c r="E15" s="35"/>
      <c r="F15" s="17"/>
      <c r="G15" s="26"/>
      <c r="H15" s="135"/>
      <c r="K15" s="29" t="str">
        <f>ROUND(AE13,1)&amp;"%"</f>
        <v>90.6%</v>
      </c>
      <c r="L15" s="15"/>
      <c r="M15" s="96"/>
      <c r="N15" s="130"/>
      <c r="O15" s="31"/>
      <c r="P15" s="31"/>
      <c r="Q15" s="98" t="str">
        <f>IF(T23&lt;6,"",ROUND(AE9,1)&amp;"%")</f>
        <v>22.6%</v>
      </c>
      <c r="R15" s="131"/>
      <c r="AG15" s="57">
        <v>0</v>
      </c>
      <c r="AH15" s="57">
        <f>COUNTIF(Engine!AL$1:AL$90,AG15)</f>
        <v>0</v>
      </c>
      <c r="AI15" s="114" t="s">
        <v>97</v>
      </c>
    </row>
    <row r="16" spans="1:35" ht="12.75" customHeight="1" x14ac:dyDescent="0.35">
      <c r="B16" s="55"/>
      <c r="C16" s="39" t="str">
        <f>IF(T$23=8,"",IF(T$23&gt;6,11,""))</f>
        <v/>
      </c>
      <c r="D16" s="37"/>
      <c r="E16" s="35"/>
      <c r="F16" s="17"/>
      <c r="G16" s="26"/>
      <c r="H16" s="135"/>
      <c r="K16" s="27"/>
      <c r="L16" s="15"/>
      <c r="M16" s="96"/>
      <c r="N16" s="130"/>
      <c r="O16" s="30"/>
      <c r="P16" s="30"/>
      <c r="Q16" s="98"/>
      <c r="R16" s="131"/>
      <c r="AG16" s="57">
        <v>-1</v>
      </c>
      <c r="AH16" s="57">
        <f>COUNTIF(Engine!AL$1:AL$90,AG16)</f>
        <v>0</v>
      </c>
      <c r="AI16" s="114" t="s">
        <v>98</v>
      </c>
    </row>
    <row r="17" spans="1:36" x14ac:dyDescent="0.35">
      <c r="B17" s="55"/>
      <c r="C17" s="44">
        <f>IF(T$23=7,"",IF(T$23&gt;5,10,""))</f>
        <v>10</v>
      </c>
      <c r="D17" s="35"/>
      <c r="E17" s="35"/>
      <c r="F17" s="17"/>
      <c r="G17" s="26"/>
      <c r="H17" s="130"/>
      <c r="K17" s="27"/>
      <c r="L17" s="15"/>
      <c r="M17" s="96"/>
      <c r="N17" s="130"/>
      <c r="Q17" s="98"/>
      <c r="R17" s="131"/>
      <c r="AG17" s="57">
        <v>-2</v>
      </c>
      <c r="AH17" s="57">
        <f>COUNTIF(Engine!AL$1:AL$90,AG17)</f>
        <v>0</v>
      </c>
      <c r="AI17" s="114" t="s">
        <v>99</v>
      </c>
    </row>
    <row r="18" spans="1:36" x14ac:dyDescent="0.35">
      <c r="B18" s="55"/>
      <c r="C18" s="39">
        <f>IF(T$23=6,"",IF(T$23&gt;4,9,""))</f>
        <v>9</v>
      </c>
      <c r="D18" s="37"/>
      <c r="E18" s="35"/>
      <c r="F18" s="17"/>
      <c r="G18" s="26"/>
      <c r="H18" s="130"/>
      <c r="K18" s="29" t="str">
        <f>ROUND(AF13,1)&amp;"%"</f>
        <v>9.4%</v>
      </c>
      <c r="L18" s="15"/>
      <c r="M18" s="96"/>
      <c r="N18" s="130"/>
      <c r="Q18" s="98" t="str">
        <f>IF(T23&lt;6,"",ROUND(AF9,1)&amp;"%")</f>
        <v>77.4%</v>
      </c>
      <c r="R18" s="131"/>
      <c r="AG18" s="57" t="s">
        <v>38</v>
      </c>
      <c r="AH18" s="57">
        <f>COUNTIF(Engine!AK1:AK90,2)</f>
        <v>12</v>
      </c>
    </row>
    <row r="19" spans="1:36" x14ac:dyDescent="0.35">
      <c r="B19" s="55"/>
      <c r="C19" s="44">
        <f>IF(T$23=5,"",IF(T$23&gt;3,8,""))</f>
        <v>8</v>
      </c>
      <c r="D19" s="35"/>
      <c r="E19" s="35"/>
      <c r="F19" s="17"/>
      <c r="G19" s="26"/>
      <c r="H19" s="130"/>
      <c r="K19" s="27"/>
      <c r="L19" s="15"/>
      <c r="M19" s="96"/>
      <c r="N19" s="130"/>
      <c r="Q19" s="98"/>
      <c r="R19" s="131"/>
      <c r="U19" s="57" t="s">
        <v>104</v>
      </c>
      <c r="V19" s="57">
        <f>30+T23</f>
        <v>38</v>
      </c>
      <c r="AG19" s="57" t="s">
        <v>39</v>
      </c>
      <c r="AH19" s="57">
        <f>V23-AH20-AH21</f>
        <v>53</v>
      </c>
    </row>
    <row r="20" spans="1:36" x14ac:dyDescent="0.35">
      <c r="B20" s="55"/>
      <c r="C20" s="39">
        <f>IF(T$23=4,"",IF(T$23&gt;2,7,""))</f>
        <v>7</v>
      </c>
      <c r="D20" s="37"/>
      <c r="E20" s="35"/>
      <c r="F20" s="17"/>
      <c r="G20" s="26"/>
      <c r="H20" s="26"/>
      <c r="I20" s="26"/>
      <c r="J20" s="26"/>
      <c r="K20" s="27"/>
      <c r="L20" s="15"/>
      <c r="M20" s="103"/>
      <c r="N20" s="26"/>
      <c r="O20" s="26"/>
      <c r="P20" s="26"/>
      <c r="Q20" s="104"/>
      <c r="R20" s="131"/>
      <c r="U20" s="57" t="s">
        <v>103</v>
      </c>
      <c r="V20" s="57" t="str">
        <f>"E31:E"&amp;V19</f>
        <v>E31:E38</v>
      </c>
      <c r="AG20" s="57" t="s">
        <v>40</v>
      </c>
      <c r="AH20" s="57">
        <f>COUNTIF(AF28:AF207,2)</f>
        <v>0</v>
      </c>
    </row>
    <row r="21" spans="1:36" x14ac:dyDescent="0.35">
      <c r="B21" s="56"/>
      <c r="C21" s="41">
        <v>6</v>
      </c>
      <c r="D21" s="33"/>
      <c r="E21" s="33"/>
      <c r="F21" s="17"/>
      <c r="G21" s="15"/>
      <c r="K21" s="15"/>
      <c r="L21" s="31"/>
      <c r="M21" s="99"/>
      <c r="Q21" s="100"/>
      <c r="R21" s="4"/>
      <c r="U21" s="57" t="s">
        <v>41</v>
      </c>
      <c r="V21" s="57">
        <f>Data!S5</f>
        <v>54</v>
      </c>
      <c r="AG21" s="57" t="s">
        <v>42</v>
      </c>
      <c r="AH21" s="57">
        <f>COUNTIF(AF28:AF207,-2)</f>
        <v>0</v>
      </c>
    </row>
    <row r="22" spans="1:36" x14ac:dyDescent="0.35">
      <c r="B22" s="55"/>
      <c r="C22" s="43">
        <v>5</v>
      </c>
      <c r="D22" s="42"/>
      <c r="E22" s="17"/>
      <c r="F22" s="17"/>
      <c r="G22" s="32" t="str">
        <f>IF($AI$23=1,Data!Q5,"")</f>
        <v>Fri  AEST</v>
      </c>
      <c r="H22" s="26"/>
      <c r="I22" s="26"/>
      <c r="J22" s="26"/>
      <c r="K22" s="27"/>
      <c r="L22" s="31"/>
      <c r="M22" s="96" t="str">
        <f>IF(T23=6,"",IF($AI$23=1,Data!Q9,""))</f>
        <v>Sun  AEST</v>
      </c>
      <c r="N22" s="26"/>
      <c r="O22" s="26"/>
      <c r="P22" s="26"/>
      <c r="Q22" s="98"/>
      <c r="R22" s="131"/>
      <c r="T22" s="57" t="s">
        <v>43</v>
      </c>
      <c r="U22" s="57" t="s">
        <v>44</v>
      </c>
      <c r="V22" s="57">
        <f>Data!S6</f>
        <v>53</v>
      </c>
      <c r="W22" s="57" t="s">
        <v>45</v>
      </c>
      <c r="X22" s="57" t="s">
        <v>46</v>
      </c>
      <c r="Y22" s="57">
        <f>Data!R3</f>
        <v>7</v>
      </c>
    </row>
    <row r="23" spans="1:36" x14ac:dyDescent="0.35">
      <c r="B23" s="55"/>
      <c r="C23" s="41">
        <v>4</v>
      </c>
      <c r="D23" s="17"/>
      <c r="E23" s="17"/>
      <c r="F23" s="17"/>
      <c r="G23" s="26"/>
      <c r="H23" s="130"/>
      <c r="K23" s="27"/>
      <c r="L23" s="15"/>
      <c r="M23" s="96"/>
      <c r="N23" s="133"/>
      <c r="Q23" s="98"/>
      <c r="R23" s="131"/>
      <c r="T23" s="57">
        <f>Data!S3</f>
        <v>8</v>
      </c>
      <c r="U23" s="57" t="s">
        <v>47</v>
      </c>
      <c r="V23" s="57">
        <f>Data!S7</f>
        <v>53</v>
      </c>
      <c r="W23" s="57" t="s">
        <v>48</v>
      </c>
      <c r="AH23" s="57" t="s">
        <v>49</v>
      </c>
      <c r="AI23" s="121">
        <f>IF(E10=W23,2,1)</f>
        <v>1</v>
      </c>
    </row>
    <row r="24" spans="1:36" x14ac:dyDescent="0.35">
      <c r="B24" s="55"/>
      <c r="C24" s="43">
        <v>3</v>
      </c>
      <c r="D24" s="42"/>
      <c r="E24" s="17"/>
      <c r="F24" s="17"/>
      <c r="G24" s="26"/>
      <c r="H24" s="130"/>
      <c r="I24" s="31"/>
      <c r="J24" s="31"/>
      <c r="K24" s="29" t="str">
        <f>ROUND(AE12,1)&amp;"%"</f>
        <v>3.8%</v>
      </c>
      <c r="L24" s="15"/>
      <c r="M24" s="96"/>
      <c r="N24" s="133"/>
      <c r="O24" s="31"/>
      <c r="P24" s="31"/>
      <c r="Q24" s="98" t="str">
        <f>IF(T23&lt;7,"",ROUND(AE8,1)&amp;"%")</f>
        <v>7.5%</v>
      </c>
      <c r="R24" s="131"/>
      <c r="T24" s="57" t="str">
        <f>Data!$O3</f>
        <v>Sea Eagles</v>
      </c>
      <c r="U24" s="57" t="str">
        <f>Data!$O4</f>
        <v>Bulldogs</v>
      </c>
      <c r="V24" s="57" t="str">
        <f>Data!$O5</f>
        <v>Dolphins</v>
      </c>
      <c r="W24" s="57" t="str">
        <f>Data!$O6</f>
        <v>Warriors</v>
      </c>
      <c r="X24" s="57" t="str">
        <f>Data!$O7</f>
        <v>Roosters</v>
      </c>
      <c r="Y24" s="57" t="str">
        <f>Data!$O8</f>
        <v>Titans</v>
      </c>
      <c r="Z24" s="57" t="str">
        <f>Data!$O9</f>
        <v>Knights</v>
      </c>
      <c r="AA24" s="57" t="str">
        <f>Data!$O10</f>
        <v>Wests Tigers</v>
      </c>
    </row>
    <row r="25" spans="1:36" x14ac:dyDescent="0.35">
      <c r="B25" s="55"/>
      <c r="C25" s="41">
        <v>2</v>
      </c>
      <c r="D25" s="17"/>
      <c r="E25" s="17"/>
      <c r="F25" s="17"/>
      <c r="G25" s="26"/>
      <c r="H25" s="130"/>
      <c r="I25" s="30"/>
      <c r="J25" s="30"/>
      <c r="K25" s="40"/>
      <c r="L25" s="15"/>
      <c r="M25" s="96"/>
      <c r="N25" s="133"/>
      <c r="O25" s="30"/>
      <c r="P25" s="30"/>
      <c r="Q25" s="98"/>
      <c r="R25" s="131"/>
      <c r="T25" s="57" t="str">
        <f>Data!$P3</f>
        <v>Dragons</v>
      </c>
      <c r="U25" s="57" t="str">
        <f>Data!$P4</f>
        <v>Rabbitohs</v>
      </c>
      <c r="V25" s="57" t="str">
        <f>Data!$P5</f>
        <v>Storm</v>
      </c>
      <c r="W25" s="57" t="str">
        <f>Data!$P6</f>
        <v>Broncos</v>
      </c>
      <c r="X25" s="57" t="str">
        <f>Data!$P7</f>
        <v>Panthers</v>
      </c>
      <c r="Y25" s="57" t="str">
        <f>Data!$P8</f>
        <v>Raiders</v>
      </c>
      <c r="Z25" s="57" t="str">
        <f>Data!$P9</f>
        <v>Sharks</v>
      </c>
      <c r="AA25" s="57" t="str">
        <f>Data!$P10</f>
        <v>Eels</v>
      </c>
    </row>
    <row r="26" spans="1:36" x14ac:dyDescent="0.35">
      <c r="B26" s="55"/>
      <c r="C26" s="39">
        <v>1</v>
      </c>
      <c r="D26" s="37"/>
      <c r="E26" s="35"/>
      <c r="F26" s="17"/>
      <c r="G26" s="26"/>
      <c r="H26" s="130"/>
      <c r="K26" s="27"/>
      <c r="L26" s="15"/>
      <c r="M26" s="96"/>
      <c r="N26" s="130"/>
      <c r="Q26" s="98"/>
      <c r="R26" s="131"/>
      <c r="T26" s="57" t="str">
        <f>Data!Q3</f>
        <v>Thu  AEST</v>
      </c>
      <c r="U26" s="57" t="str">
        <f>Data!Q4</f>
        <v>Fri  AEST</v>
      </c>
      <c r="V26" s="57" t="str">
        <f>Data!Q5</f>
        <v>Fri  AEST</v>
      </c>
      <c r="W26" s="57" t="str">
        <f>Data!Q6</f>
        <v>Sat  AEST</v>
      </c>
      <c r="X26" s="57" t="str">
        <f>Data!Q7</f>
        <v>Sat  AEST</v>
      </c>
      <c r="Y26" s="57" t="str">
        <f>Data!Q8</f>
        <v>Sun  AEST</v>
      </c>
      <c r="Z26" s="57" t="str">
        <f>Data!Q9</f>
        <v>Sun  AEST</v>
      </c>
      <c r="AA26" s="57" t="str">
        <f>Data!Q10</f>
        <v>Mon  AEST</v>
      </c>
    </row>
    <row r="27" spans="1:36" x14ac:dyDescent="0.35">
      <c r="B27" s="55"/>
      <c r="C27" s="36">
        <v>0</v>
      </c>
      <c r="D27" s="35"/>
      <c r="E27" s="35"/>
      <c r="F27" s="17"/>
      <c r="G27" s="26"/>
      <c r="H27" s="130"/>
      <c r="K27" s="29" t="str">
        <f>ROUND(AF12,1)&amp;"%"</f>
        <v>96.2%</v>
      </c>
      <c r="L27" s="15"/>
      <c r="M27" s="96"/>
      <c r="N27" s="130"/>
      <c r="Q27" s="98" t="str">
        <f>IF(T23&lt;7,"",ROUND(AF8,1)&amp;"%")</f>
        <v>92.5%</v>
      </c>
      <c r="R27" s="131"/>
      <c r="S27" s="57" t="s">
        <v>50</v>
      </c>
      <c r="T27" s="57">
        <v>1</v>
      </c>
      <c r="U27" s="57">
        <v>2</v>
      </c>
      <c r="V27" s="57">
        <v>3</v>
      </c>
      <c r="W27" s="57">
        <v>4</v>
      </c>
      <c r="X27" s="57">
        <v>5</v>
      </c>
      <c r="Y27" s="57">
        <v>6</v>
      </c>
      <c r="Z27" s="57">
        <v>7</v>
      </c>
      <c r="AA27" s="57">
        <v>8</v>
      </c>
      <c r="AB27" s="105" t="s">
        <v>51</v>
      </c>
      <c r="AI27" s="114" t="s">
        <v>52</v>
      </c>
      <c r="AJ27" s="57" t="s">
        <v>53</v>
      </c>
    </row>
    <row r="28" spans="1:36" x14ac:dyDescent="0.35">
      <c r="B28" s="56"/>
      <c r="C28" s="38">
        <v>-1</v>
      </c>
      <c r="D28" s="37"/>
      <c r="E28" s="35"/>
      <c r="F28" s="17"/>
      <c r="G28" s="26"/>
      <c r="H28" s="130"/>
      <c r="K28" s="27"/>
      <c r="L28" s="15"/>
      <c r="M28" s="96"/>
      <c r="N28" s="130"/>
      <c r="Q28" s="96"/>
      <c r="R28" s="4"/>
      <c r="AB28" s="105" t="s">
        <v>84</v>
      </c>
      <c r="AI28" s="114">
        <f>IF(T$23-AG28=AE28,2,0)</f>
        <v>0</v>
      </c>
      <c r="AJ28" s="57" t="str">
        <f>IF(S28="Y",SUM(AE28:AI28),"")</f>
        <v/>
      </c>
    </row>
    <row r="29" spans="1:36" x14ac:dyDescent="0.35">
      <c r="B29" s="55"/>
      <c r="C29" s="36">
        <v>-2</v>
      </c>
      <c r="D29" s="35"/>
      <c r="E29" s="35"/>
      <c r="F29" s="17"/>
      <c r="G29" s="26"/>
      <c r="H29" s="26"/>
      <c r="I29" s="26"/>
      <c r="J29" s="26"/>
      <c r="K29" s="27"/>
      <c r="L29" s="15"/>
      <c r="M29" s="103"/>
      <c r="N29" s="26"/>
      <c r="O29" s="26"/>
      <c r="P29" s="26"/>
      <c r="Q29" s="103"/>
      <c r="R29" s="131"/>
      <c r="AB29" s="105" t="s">
        <v>84</v>
      </c>
    </row>
    <row r="30" spans="1:36" x14ac:dyDescent="0.35">
      <c r="B30" s="34"/>
      <c r="C30" s="18"/>
      <c r="D30" s="17"/>
      <c r="E30" s="33"/>
      <c r="F30" s="17"/>
      <c r="G30" s="15"/>
      <c r="K30" s="15"/>
      <c r="L30" s="15"/>
      <c r="M30" s="99"/>
      <c r="Q30" s="99"/>
      <c r="R30" s="131"/>
      <c r="AB30" s="105" t="s">
        <v>84</v>
      </c>
    </row>
    <row r="31" spans="1:36" x14ac:dyDescent="0.35">
      <c r="A31" s="53"/>
      <c r="B31" s="55">
        <v>1</v>
      </c>
      <c r="C31" s="136" t="s">
        <v>54</v>
      </c>
      <c r="D31" s="137"/>
      <c r="E31" s="28" t="s">
        <v>122</v>
      </c>
      <c r="F31" s="17"/>
      <c r="G31" s="32" t="str">
        <f>IF($AI$23=1,Data!Q6,"")</f>
        <v>Sat  AEST</v>
      </c>
      <c r="H31" s="26"/>
      <c r="I31" s="26"/>
      <c r="J31" s="26"/>
      <c r="K31" s="27"/>
      <c r="L31" s="15"/>
      <c r="M31" s="96" t="str">
        <f>IF(T23=6,"",IF($AI$23=1,Data!Q10,""))</f>
        <v>Mon  AEST</v>
      </c>
      <c r="N31" s="26"/>
      <c r="O31" s="26"/>
      <c r="P31" s="26"/>
      <c r="Q31" s="97"/>
      <c r="R31" s="131"/>
    </row>
    <row r="32" spans="1:36" x14ac:dyDescent="0.35">
      <c r="A32" s="53"/>
      <c r="B32" s="55">
        <v>2</v>
      </c>
      <c r="C32" s="136" t="s">
        <v>55</v>
      </c>
      <c r="D32" s="137"/>
      <c r="E32" s="28"/>
      <c r="F32" s="17"/>
      <c r="G32" s="26"/>
      <c r="H32" s="133"/>
      <c r="K32" s="27"/>
      <c r="L32" s="15"/>
      <c r="M32" s="97"/>
      <c r="N32" s="133"/>
      <c r="Q32" s="97"/>
      <c r="R32" s="131"/>
    </row>
    <row r="33" spans="1:253" x14ac:dyDescent="0.35">
      <c r="A33" s="53"/>
      <c r="B33" s="55">
        <v>3</v>
      </c>
      <c r="C33" s="136" t="s">
        <v>56</v>
      </c>
      <c r="D33" s="137"/>
      <c r="E33" s="28"/>
      <c r="F33" s="17"/>
      <c r="G33" s="26"/>
      <c r="H33" s="133"/>
      <c r="K33" s="29" t="str">
        <f>ROUND(AE11,1)&amp;"%"</f>
        <v>18.9%</v>
      </c>
      <c r="L33" s="15"/>
      <c r="M33" s="97"/>
      <c r="N33" s="133"/>
      <c r="O33" s="31"/>
      <c r="P33" s="31"/>
      <c r="Q33" s="101" t="str">
        <f>IF(T23&lt;8,"",ROUND(AE7,1)&amp;"%")</f>
        <v>77.4%</v>
      </c>
      <c r="R33" s="131"/>
    </row>
    <row r="34" spans="1:253" x14ac:dyDescent="0.35">
      <c r="A34" s="53"/>
      <c r="B34" s="55">
        <v>4</v>
      </c>
      <c r="C34" s="136" t="s">
        <v>57</v>
      </c>
      <c r="D34" s="137"/>
      <c r="E34" s="28"/>
      <c r="F34" s="17"/>
      <c r="G34" s="26"/>
      <c r="H34" s="133"/>
      <c r="K34" s="27"/>
      <c r="M34" s="97"/>
      <c r="N34" s="133"/>
      <c r="O34" s="30"/>
      <c r="P34" s="30"/>
      <c r="Q34" s="97"/>
      <c r="R34" s="131"/>
    </row>
    <row r="35" spans="1:253" x14ac:dyDescent="0.35">
      <c r="A35" s="53"/>
      <c r="B35" s="55">
        <v>5</v>
      </c>
      <c r="C35" s="136" t="str">
        <f>IF(T23&lt;5,"","Select Winner - Game 5:")</f>
        <v>Select Winner - Game 5:</v>
      </c>
      <c r="D35" s="136"/>
      <c r="E35" s="28"/>
      <c r="F35" s="17"/>
      <c r="G35" s="26"/>
      <c r="H35" s="130"/>
      <c r="K35" s="27"/>
      <c r="M35" s="97"/>
      <c r="N35" s="134"/>
      <c r="Q35" s="97"/>
      <c r="R35" s="4"/>
    </row>
    <row r="36" spans="1:253" x14ac:dyDescent="0.35">
      <c r="A36" s="53"/>
      <c r="B36" s="55">
        <v>6</v>
      </c>
      <c r="C36" s="136" t="str">
        <f>IF(T23&lt;6,"","Select Winner - Game 6:")</f>
        <v>Select Winner - Game 6:</v>
      </c>
      <c r="D36" s="136"/>
      <c r="E36" s="28"/>
      <c r="F36" s="17"/>
      <c r="G36" s="26"/>
      <c r="H36" s="130"/>
      <c r="K36" s="29" t="str">
        <f>ROUND(AF11,1)&amp;"%"</f>
        <v>81.1%</v>
      </c>
      <c r="M36" s="97"/>
      <c r="N36" s="134"/>
      <c r="Q36" s="101" t="str">
        <f>IF(T23&lt;8,"",ROUND(AF7,1)&amp;"%")</f>
        <v>22.6%</v>
      </c>
      <c r="R36" s="131"/>
    </row>
    <row r="37" spans="1:253" x14ac:dyDescent="0.35">
      <c r="A37" s="53"/>
      <c r="B37" s="55">
        <v>7</v>
      </c>
      <c r="C37" s="136" t="str">
        <f>IF(T23&lt;7,"","Select Winner - Game 7:")</f>
        <v>Select Winner - Game 7:</v>
      </c>
      <c r="D37" s="136"/>
      <c r="E37" s="28"/>
      <c r="F37" s="17"/>
      <c r="G37" s="26"/>
      <c r="H37" s="130"/>
      <c r="K37" s="27"/>
      <c r="M37" s="97"/>
      <c r="N37" s="134"/>
      <c r="Q37" s="97"/>
      <c r="R37" s="131"/>
    </row>
    <row r="38" spans="1:253" x14ac:dyDescent="0.35">
      <c r="A38" s="53"/>
      <c r="B38" s="55">
        <v>8</v>
      </c>
      <c r="C38" s="136" t="str">
        <f>IF(T23&lt;8,"","Select Winner - Game 8:")</f>
        <v>Select Winner - Game 8:</v>
      </c>
      <c r="D38" s="136"/>
      <c r="E38" s="28"/>
      <c r="F38" s="17"/>
      <c r="G38" s="26"/>
      <c r="H38" s="27"/>
      <c r="I38" s="27"/>
      <c r="J38" s="27"/>
      <c r="K38" s="27"/>
      <c r="M38" s="97"/>
      <c r="N38" s="97"/>
      <c r="O38" s="97"/>
      <c r="P38" s="97"/>
      <c r="Q38" s="97"/>
      <c r="R38" s="131"/>
    </row>
    <row r="39" spans="1:253" x14ac:dyDescent="0.35">
      <c r="B39" s="25"/>
      <c r="F39" s="17"/>
      <c r="R39" s="131"/>
    </row>
    <row r="40" spans="1:253" x14ac:dyDescent="0.35">
      <c r="B40" s="25"/>
      <c r="F40" s="17"/>
      <c r="R40" s="131"/>
    </row>
    <row r="41" spans="1:253" ht="15" thickBot="1" x14ac:dyDescent="0.4">
      <c r="B41" s="24"/>
      <c r="C41" s="22"/>
      <c r="D41" s="21"/>
      <c r="E41" s="21"/>
      <c r="F41" s="23"/>
      <c r="G41" s="21"/>
      <c r="H41" s="21"/>
      <c r="I41" s="21"/>
      <c r="J41" s="21"/>
      <c r="K41" s="21"/>
      <c r="L41" s="21"/>
      <c r="M41" s="22"/>
      <c r="N41" s="21"/>
      <c r="O41" s="21"/>
      <c r="P41" s="21"/>
      <c r="Q41" s="95"/>
      <c r="R41" s="138"/>
    </row>
    <row r="42" spans="1:253" s="14" customFormat="1" x14ac:dyDescent="0.35">
      <c r="C42" s="115"/>
      <c r="M42" s="115"/>
      <c r="Q42" s="116"/>
      <c r="R42" s="117"/>
      <c r="S42" s="57"/>
      <c r="T42" s="57"/>
      <c r="U42" s="57"/>
      <c r="V42" s="57"/>
      <c r="W42" s="57"/>
      <c r="X42" s="57"/>
      <c r="Y42" s="57"/>
      <c r="Z42" s="57"/>
      <c r="AA42" s="57"/>
      <c r="AB42" s="105"/>
      <c r="AC42" s="57"/>
      <c r="AD42" s="57"/>
      <c r="AE42" s="57"/>
      <c r="AF42" s="57"/>
      <c r="AG42" s="57"/>
      <c r="AH42" s="57"/>
      <c r="AI42" s="114"/>
      <c r="AJ42" s="57"/>
      <c r="AO42" s="13"/>
      <c r="AP42" s="13"/>
      <c r="AQ42" s="13"/>
    </row>
    <row r="43" spans="1:253" s="53" customFormat="1" x14ac:dyDescent="0.35">
      <c r="C43" s="20" t="str">
        <f>T24</f>
        <v>Sea Eagles</v>
      </c>
      <c r="D43" s="20" t="str">
        <f t="shared" ref="D43:F43" si="3">U24</f>
        <v>Bulldogs</v>
      </c>
      <c r="E43" s="20" t="str">
        <f t="shared" si="3"/>
        <v>Dolphins</v>
      </c>
      <c r="F43" s="20" t="str">
        <f t="shared" si="3"/>
        <v>Warriors</v>
      </c>
      <c r="G43" s="20" t="str">
        <f>IF($T$23&gt;4,X24,"")</f>
        <v>Roosters</v>
      </c>
      <c r="H43" s="20" t="str">
        <f>IF($T$23&gt;5,Y24,"")</f>
        <v>Titans</v>
      </c>
      <c r="I43" s="20" t="str">
        <f>IF($T$23&gt;6,Z24,"")</f>
        <v>Knights</v>
      </c>
      <c r="J43" s="20" t="str">
        <f>IF($T$23&gt;7,AA24,"")</f>
        <v>Wests Tigers</v>
      </c>
      <c r="M43" s="20"/>
      <c r="Q43" s="113"/>
      <c r="R43" s="139"/>
      <c r="S43" s="57"/>
      <c r="T43" s="57"/>
      <c r="U43" s="57"/>
      <c r="V43" s="57"/>
      <c r="W43" s="57"/>
      <c r="X43" s="57"/>
      <c r="Y43" s="57"/>
      <c r="Z43" s="57"/>
      <c r="AA43" s="57"/>
      <c r="AB43" s="105"/>
      <c r="AC43" s="57"/>
      <c r="AD43" s="57"/>
      <c r="AE43" s="57"/>
      <c r="AF43" s="57"/>
      <c r="AG43" s="57"/>
      <c r="AH43" s="57"/>
      <c r="AI43" s="114"/>
      <c r="AJ43" s="57"/>
      <c r="AO43" s="54"/>
      <c r="AP43" s="54"/>
      <c r="AQ43" s="54"/>
    </row>
    <row r="44" spans="1:253" s="53" customFormat="1" x14ac:dyDescent="0.35">
      <c r="C44" s="20" t="str">
        <f t="shared" ref="C44:F44" si="4">T25</f>
        <v>Dragons</v>
      </c>
      <c r="D44" s="20" t="str">
        <f t="shared" si="4"/>
        <v>Rabbitohs</v>
      </c>
      <c r="E44" s="20" t="str">
        <f t="shared" si="4"/>
        <v>Storm</v>
      </c>
      <c r="F44" s="20" t="str">
        <f t="shared" si="4"/>
        <v>Broncos</v>
      </c>
      <c r="G44" s="20" t="str">
        <f t="shared" ref="G44" si="5">IF($T$23&gt;4,X25,"")</f>
        <v>Panthers</v>
      </c>
      <c r="H44" s="20" t="str">
        <f t="shared" ref="H44" si="6">IF($T$23&gt;5,Y25,"")</f>
        <v>Raiders</v>
      </c>
      <c r="I44" s="20" t="str">
        <f t="shared" ref="I44" si="7">IF($T$23&gt;6,Z25,"")</f>
        <v>Sharks</v>
      </c>
      <c r="J44" s="20" t="str">
        <f t="shared" ref="J44" si="8">IF($T$23&gt;7,AA25,"")</f>
        <v>Eels</v>
      </c>
      <c r="M44" s="20"/>
      <c r="Q44" s="113"/>
      <c r="R44" s="139"/>
      <c r="S44" s="57"/>
      <c r="T44" s="57"/>
      <c r="U44" s="57"/>
      <c r="V44" s="57"/>
      <c r="W44" s="57"/>
      <c r="X44" s="57"/>
      <c r="Y44" s="57"/>
      <c r="Z44" s="57"/>
      <c r="AA44" s="57"/>
      <c r="AB44" s="105"/>
      <c r="AC44" s="57"/>
      <c r="AD44" s="57"/>
      <c r="AE44" s="57"/>
      <c r="AF44" s="57"/>
      <c r="AG44" s="57"/>
      <c r="AH44" s="57"/>
      <c r="AI44" s="114"/>
      <c r="AJ44" s="57"/>
      <c r="AO44" s="54"/>
      <c r="AP44" s="54"/>
      <c r="AQ44" s="54"/>
    </row>
    <row r="45" spans="1:253" s="53" customFormat="1" x14ac:dyDescent="0.35">
      <c r="C45" s="20" t="s">
        <v>76</v>
      </c>
      <c r="D45" s="20" t="s">
        <v>76</v>
      </c>
      <c r="E45" s="20" t="s">
        <v>76</v>
      </c>
      <c r="F45" s="20" t="str">
        <f>IF($T$23&gt;3,"Draw","")</f>
        <v>Draw</v>
      </c>
      <c r="G45" s="20" t="str">
        <f>IF($T$23&gt;4,"Draw","")</f>
        <v>Draw</v>
      </c>
      <c r="H45" s="20" t="str">
        <f>IF($T$23&gt;5,"Draw","")</f>
        <v>Draw</v>
      </c>
      <c r="I45" s="20" t="str">
        <f>IF($T$23&gt;6,"Draw","")</f>
        <v>Draw</v>
      </c>
      <c r="J45" s="20" t="str">
        <f>IF($T$23&gt;7,"Draw","")</f>
        <v>Draw</v>
      </c>
      <c r="M45" s="20"/>
      <c r="Q45" s="113"/>
      <c r="R45" s="139"/>
      <c r="S45" s="57"/>
      <c r="T45" s="57"/>
      <c r="U45" s="57"/>
      <c r="V45" s="57"/>
      <c r="W45" s="57"/>
      <c r="X45" s="57"/>
      <c r="Y45" s="57"/>
      <c r="Z45" s="57"/>
      <c r="AA45" s="57"/>
      <c r="AB45" s="105"/>
      <c r="AC45" s="57"/>
      <c r="AD45" s="57"/>
      <c r="AE45" s="57"/>
      <c r="AF45" s="57"/>
      <c r="AG45" s="57"/>
      <c r="AH45" s="57"/>
      <c r="AI45" s="114"/>
      <c r="AJ45" s="57"/>
      <c r="AO45" s="54"/>
      <c r="AP45" s="54"/>
      <c r="AQ45" s="54"/>
      <c r="IS45" s="20"/>
    </row>
    <row r="46" spans="1:253" s="14" customFormat="1" x14ac:dyDescent="0.35">
      <c r="C46" s="115"/>
      <c r="D46" s="118"/>
      <c r="E46" s="118"/>
      <c r="F46" s="112"/>
      <c r="G46" s="112"/>
      <c r="M46" s="115"/>
      <c r="Q46" s="116"/>
      <c r="R46" s="140"/>
      <c r="S46" s="57"/>
      <c r="T46" s="57"/>
      <c r="U46" s="57"/>
      <c r="V46" s="57"/>
      <c r="W46" s="57"/>
      <c r="X46" s="57"/>
      <c r="Y46" s="57"/>
      <c r="Z46" s="57"/>
      <c r="AA46" s="57"/>
      <c r="AB46" s="105"/>
      <c r="AC46" s="57"/>
      <c r="AD46" s="57"/>
      <c r="AE46" s="57"/>
      <c r="AF46" s="57"/>
      <c r="AG46" s="57"/>
      <c r="AH46" s="57"/>
      <c r="AI46" s="114"/>
      <c r="AJ46" s="57"/>
      <c r="AO46" s="13"/>
      <c r="AP46" s="13"/>
      <c r="AQ46" s="13"/>
    </row>
    <row r="47" spans="1:253" s="14" customFormat="1" x14ac:dyDescent="0.35">
      <c r="C47" s="115"/>
      <c r="D47" s="119"/>
      <c r="E47" s="112"/>
      <c r="F47" s="112"/>
      <c r="G47" s="112"/>
      <c r="M47" s="115"/>
      <c r="Q47" s="116"/>
      <c r="R47" s="140"/>
      <c r="S47" s="57"/>
      <c r="T47" s="57"/>
      <c r="U47" s="57"/>
      <c r="V47" s="57"/>
      <c r="W47" s="57"/>
      <c r="X47" s="57"/>
      <c r="Y47" s="57"/>
      <c r="Z47" s="57"/>
      <c r="AA47" s="57"/>
      <c r="AB47" s="105"/>
      <c r="AC47" s="57"/>
      <c r="AD47" s="57"/>
      <c r="AE47" s="57"/>
      <c r="AF47" s="57"/>
      <c r="AG47" s="57"/>
      <c r="AH47" s="57"/>
      <c r="AI47" s="114"/>
      <c r="AJ47" s="57"/>
      <c r="AO47" s="13"/>
      <c r="AP47" s="13"/>
      <c r="AQ47" s="13"/>
    </row>
    <row r="48" spans="1:253" s="14" customFormat="1" x14ac:dyDescent="0.35">
      <c r="D48" s="119"/>
      <c r="E48" s="112"/>
      <c r="F48" s="112"/>
      <c r="G48" s="112"/>
      <c r="M48" s="115"/>
      <c r="Q48" s="116"/>
      <c r="R48" s="140"/>
      <c r="S48" s="57"/>
      <c r="T48" s="57"/>
      <c r="U48" s="57"/>
      <c r="V48" s="57"/>
      <c r="W48" s="57"/>
      <c r="X48" s="57"/>
      <c r="Y48" s="57"/>
      <c r="Z48" s="57"/>
      <c r="AA48" s="57"/>
      <c r="AB48" s="105"/>
      <c r="AC48" s="57"/>
      <c r="AD48" s="57"/>
      <c r="AE48" s="57"/>
      <c r="AF48" s="57"/>
      <c r="AG48" s="57"/>
      <c r="AH48" s="57"/>
      <c r="AI48" s="114"/>
      <c r="AJ48" s="57"/>
      <c r="AO48" s="13"/>
      <c r="AP48" s="13"/>
      <c r="AQ48" s="13"/>
    </row>
    <row r="49" spans="2:43" s="14" customFormat="1" x14ac:dyDescent="0.35">
      <c r="C49" s="115"/>
      <c r="D49" s="120"/>
      <c r="E49" s="112"/>
      <c r="F49" s="112"/>
      <c r="G49" s="112"/>
      <c r="M49" s="115"/>
      <c r="Q49" s="116"/>
      <c r="R49" s="117"/>
      <c r="S49" s="57"/>
      <c r="T49" s="57"/>
      <c r="U49" s="57"/>
      <c r="V49" s="57"/>
      <c r="W49" s="57"/>
      <c r="X49" s="57"/>
      <c r="Y49" s="57"/>
      <c r="Z49" s="57"/>
      <c r="AA49" s="57"/>
      <c r="AB49" s="105"/>
      <c r="AC49" s="57"/>
      <c r="AD49" s="57"/>
      <c r="AE49" s="57"/>
      <c r="AF49" s="57"/>
      <c r="AG49" s="57"/>
      <c r="AH49" s="57"/>
      <c r="AI49" s="114"/>
      <c r="AJ49" s="57"/>
      <c r="AO49" s="13"/>
      <c r="AP49" s="13"/>
      <c r="AQ49" s="13"/>
    </row>
    <row r="50" spans="2:43" s="14" customFormat="1" x14ac:dyDescent="0.35">
      <c r="B50" s="116"/>
      <c r="C50" s="115"/>
      <c r="D50" s="120"/>
      <c r="E50" s="112"/>
      <c r="F50" s="112"/>
      <c r="G50" s="112"/>
      <c r="M50" s="115"/>
      <c r="Q50" s="116"/>
      <c r="R50" s="140"/>
      <c r="S50" s="57"/>
      <c r="T50" s="57"/>
      <c r="U50" s="57"/>
      <c r="V50" s="57"/>
      <c r="W50" s="57"/>
      <c r="X50" s="57"/>
      <c r="Y50" s="57"/>
      <c r="Z50" s="57"/>
      <c r="AA50" s="57"/>
      <c r="AB50" s="105"/>
      <c r="AC50" s="57"/>
      <c r="AD50" s="57"/>
      <c r="AE50" s="57"/>
      <c r="AF50" s="57"/>
      <c r="AG50" s="57"/>
      <c r="AH50" s="57"/>
      <c r="AI50" s="114"/>
      <c r="AJ50" s="57"/>
      <c r="AO50" s="13"/>
      <c r="AP50" s="13"/>
      <c r="AQ50" s="13"/>
    </row>
    <row r="51" spans="2:43" s="14" customFormat="1" x14ac:dyDescent="0.35">
      <c r="B51" s="116"/>
      <c r="C51" s="115"/>
      <c r="M51" s="115"/>
      <c r="Q51" s="116"/>
      <c r="R51" s="140"/>
      <c r="S51" s="57"/>
      <c r="T51" s="57"/>
      <c r="U51" s="57"/>
      <c r="V51" s="57"/>
      <c r="W51" s="57"/>
      <c r="X51" s="57"/>
      <c r="Y51" s="57"/>
      <c r="Z51" s="57"/>
      <c r="AA51" s="57"/>
      <c r="AB51" s="105"/>
      <c r="AC51" s="57"/>
      <c r="AD51" s="57"/>
      <c r="AE51" s="57"/>
      <c r="AF51" s="57"/>
      <c r="AG51" s="57"/>
      <c r="AH51" s="57"/>
      <c r="AI51" s="114"/>
      <c r="AJ51" s="57"/>
      <c r="AO51" s="13"/>
      <c r="AP51" s="13"/>
      <c r="AQ51" s="13"/>
    </row>
    <row r="52" spans="2:43" s="14" customFormat="1" x14ac:dyDescent="0.35">
      <c r="B52" s="116"/>
      <c r="C52" s="115"/>
      <c r="M52" s="115"/>
      <c r="Q52" s="116"/>
      <c r="R52" s="140"/>
      <c r="S52" s="57"/>
      <c r="T52" s="57"/>
      <c r="U52" s="57"/>
      <c r="V52" s="57"/>
      <c r="W52" s="57"/>
      <c r="X52" s="57"/>
      <c r="Y52" s="57"/>
      <c r="Z52" s="57"/>
      <c r="AA52" s="57"/>
      <c r="AB52" s="105"/>
      <c r="AC52" s="57"/>
      <c r="AD52" s="57"/>
      <c r="AE52" s="57"/>
      <c r="AF52" s="57"/>
      <c r="AG52" s="57"/>
      <c r="AH52" s="57"/>
      <c r="AI52" s="114"/>
      <c r="AJ52" s="57"/>
      <c r="AO52" s="13"/>
      <c r="AP52" s="13"/>
      <c r="AQ52" s="13"/>
    </row>
    <row r="53" spans="2:43" s="14" customFormat="1" x14ac:dyDescent="0.35">
      <c r="B53" s="116"/>
      <c r="C53" s="115"/>
      <c r="D53" s="116"/>
      <c r="E53" s="116"/>
      <c r="M53" s="115"/>
      <c r="Q53" s="116"/>
      <c r="R53" s="140"/>
      <c r="S53" s="57"/>
      <c r="T53" s="57"/>
      <c r="U53" s="57"/>
      <c r="V53" s="57"/>
      <c r="W53" s="57"/>
      <c r="X53" s="57"/>
      <c r="Y53" s="57"/>
      <c r="Z53" s="57"/>
      <c r="AA53" s="57"/>
      <c r="AB53" s="105"/>
      <c r="AC53" s="57"/>
      <c r="AD53" s="57"/>
      <c r="AE53" s="57"/>
      <c r="AF53" s="57"/>
      <c r="AG53" s="57"/>
      <c r="AH53" s="57"/>
      <c r="AI53" s="114"/>
      <c r="AJ53" s="57"/>
      <c r="AO53" s="13"/>
      <c r="AP53" s="13"/>
      <c r="AQ53" s="13"/>
    </row>
    <row r="54" spans="2:43" s="14" customFormat="1" x14ac:dyDescent="0.35">
      <c r="B54" s="116"/>
      <c r="C54" s="115"/>
      <c r="D54" s="116"/>
      <c r="E54" s="116"/>
      <c r="M54" s="115"/>
      <c r="Q54" s="116"/>
      <c r="R54" s="140"/>
      <c r="S54" s="57"/>
      <c r="T54" s="57"/>
      <c r="U54" s="57"/>
      <c r="V54" s="57"/>
      <c r="W54" s="57"/>
      <c r="X54" s="57"/>
      <c r="Y54" s="57"/>
      <c r="Z54" s="57"/>
      <c r="AA54" s="57"/>
      <c r="AB54" s="105"/>
      <c r="AC54" s="57"/>
      <c r="AD54" s="57"/>
      <c r="AE54" s="57"/>
      <c r="AF54" s="57"/>
      <c r="AG54" s="57"/>
      <c r="AH54" s="57"/>
      <c r="AI54" s="114"/>
      <c r="AJ54" s="57"/>
      <c r="AO54" s="13"/>
      <c r="AP54" s="13"/>
      <c r="AQ54" s="13"/>
    </row>
    <row r="55" spans="2:43" s="14" customFormat="1" x14ac:dyDescent="0.35">
      <c r="B55" s="116"/>
      <c r="C55" s="115"/>
      <c r="D55" s="116"/>
      <c r="E55" s="116"/>
      <c r="M55" s="115"/>
      <c r="Q55" s="116"/>
      <c r="R55" s="140"/>
      <c r="S55" s="57"/>
      <c r="T55" s="57"/>
      <c r="U55" s="57"/>
      <c r="V55" s="57"/>
      <c r="W55" s="57"/>
      <c r="X55" s="57"/>
      <c r="Y55" s="57"/>
      <c r="Z55" s="57"/>
      <c r="AA55" s="57"/>
      <c r="AB55" s="105"/>
      <c r="AC55" s="57"/>
      <c r="AD55" s="57"/>
      <c r="AE55" s="57"/>
      <c r="AF55" s="57"/>
      <c r="AG55" s="57"/>
      <c r="AH55" s="57"/>
      <c r="AI55" s="114"/>
      <c r="AJ55" s="57"/>
      <c r="AO55" s="13"/>
      <c r="AP55" s="13"/>
      <c r="AQ55" s="13"/>
    </row>
    <row r="56" spans="2:43" s="14" customFormat="1" x14ac:dyDescent="0.35">
      <c r="C56" s="115"/>
      <c r="D56" s="116"/>
      <c r="E56" s="116"/>
      <c r="M56" s="115"/>
      <c r="Q56" s="116"/>
      <c r="S56" s="57"/>
      <c r="T56" s="57"/>
      <c r="U56" s="57"/>
      <c r="V56" s="57"/>
      <c r="W56" s="57"/>
      <c r="X56" s="57"/>
      <c r="Y56" s="57"/>
      <c r="Z56" s="57"/>
      <c r="AA56" s="57"/>
      <c r="AB56" s="105"/>
      <c r="AC56" s="57"/>
      <c r="AD56" s="57"/>
      <c r="AE56" s="57"/>
      <c r="AF56" s="57"/>
      <c r="AG56" s="57"/>
      <c r="AH56" s="57"/>
      <c r="AI56" s="114"/>
      <c r="AJ56" s="57"/>
      <c r="AO56" s="13"/>
      <c r="AP56" s="13"/>
      <c r="AQ56" s="13"/>
    </row>
    <row r="57" spans="2:43" s="14" customFormat="1" x14ac:dyDescent="0.35">
      <c r="C57" s="115"/>
      <c r="M57" s="115"/>
      <c r="Q57" s="116"/>
      <c r="S57" s="57"/>
      <c r="T57" s="57"/>
      <c r="U57" s="57"/>
      <c r="V57" s="57"/>
      <c r="W57" s="57"/>
      <c r="X57" s="57"/>
      <c r="Y57" s="57"/>
      <c r="Z57" s="57"/>
      <c r="AA57" s="57"/>
      <c r="AB57" s="105"/>
      <c r="AC57" s="57"/>
      <c r="AD57" s="57"/>
      <c r="AE57" s="57"/>
      <c r="AF57" s="57"/>
      <c r="AG57" s="57"/>
      <c r="AH57" s="57"/>
      <c r="AI57" s="114"/>
      <c r="AJ57" s="57"/>
      <c r="AO57" s="13"/>
      <c r="AP57" s="13"/>
      <c r="AQ57" s="13"/>
    </row>
    <row r="58" spans="2:43" s="14" customFormat="1" x14ac:dyDescent="0.35">
      <c r="C58" s="115"/>
      <c r="M58" s="115"/>
      <c r="Q58" s="116"/>
      <c r="S58" s="57"/>
      <c r="T58" s="57"/>
      <c r="U58" s="57"/>
      <c r="V58" s="57"/>
      <c r="W58" s="57"/>
      <c r="X58" s="57"/>
      <c r="Y58" s="57"/>
      <c r="Z58" s="57"/>
      <c r="AA58" s="57"/>
      <c r="AB58" s="105"/>
      <c r="AC58" s="57"/>
      <c r="AD58" s="57"/>
      <c r="AE58" s="57"/>
      <c r="AF58" s="57"/>
      <c r="AG58" s="57"/>
      <c r="AH58" s="57"/>
      <c r="AI58" s="114"/>
      <c r="AJ58" s="57"/>
      <c r="AO58" s="13"/>
      <c r="AP58" s="13"/>
      <c r="AQ58" s="13"/>
    </row>
    <row r="59" spans="2:43" s="14" customFormat="1" x14ac:dyDescent="0.35">
      <c r="C59" s="115"/>
      <c r="M59" s="115"/>
      <c r="Q59" s="116"/>
      <c r="S59" s="57"/>
      <c r="T59" s="57"/>
      <c r="U59" s="57"/>
      <c r="V59" s="57"/>
      <c r="W59" s="57"/>
      <c r="X59" s="57"/>
      <c r="Y59" s="57"/>
      <c r="Z59" s="57"/>
      <c r="AA59" s="57"/>
      <c r="AB59" s="105"/>
      <c r="AC59" s="57"/>
      <c r="AD59" s="57"/>
      <c r="AE59" s="57"/>
      <c r="AF59" s="57"/>
      <c r="AG59" s="57"/>
      <c r="AH59" s="57"/>
      <c r="AI59" s="114"/>
      <c r="AJ59" s="57"/>
      <c r="AO59" s="13"/>
      <c r="AP59" s="13"/>
      <c r="AQ59" s="13"/>
    </row>
    <row r="60" spans="2:43" s="14" customFormat="1" x14ac:dyDescent="0.35">
      <c r="C60" s="115"/>
      <c r="M60" s="115"/>
      <c r="Q60" s="116"/>
      <c r="S60" s="57"/>
      <c r="T60" s="57"/>
      <c r="U60" s="57"/>
      <c r="V60" s="57"/>
      <c r="W60" s="57"/>
      <c r="X60" s="57"/>
      <c r="Y60" s="57"/>
      <c r="Z60" s="57"/>
      <c r="AA60" s="57"/>
      <c r="AB60" s="105"/>
      <c r="AC60" s="57"/>
      <c r="AD60" s="57"/>
      <c r="AE60" s="57"/>
      <c r="AF60" s="57"/>
      <c r="AG60" s="57"/>
      <c r="AH60" s="57"/>
      <c r="AI60" s="114"/>
      <c r="AJ60" s="57"/>
      <c r="AO60" s="13"/>
      <c r="AP60" s="13"/>
      <c r="AQ60" s="13"/>
    </row>
  </sheetData>
  <sheetProtection algorithmName="SHA-512" hashValue="5CggdRs6ocymlUH3DYU3rlDO2ooFOhTHzLziAE8GRwStb6FW5k42r5IbZeIhoUpZOyEPeLGg/Of6Toop/JFwbA==" saltValue="iICwRT8tZcZ4+JyAu2cnDw==" spinCount="100000" sheet="1" objects="1" scenarios="1" selectLockedCells="1"/>
  <mergeCells count="41">
    <mergeCell ref="R39:R41"/>
    <mergeCell ref="R43:R45"/>
    <mergeCell ref="R46:R48"/>
    <mergeCell ref="R50:R52"/>
    <mergeCell ref="R53:R55"/>
    <mergeCell ref="C36:D36"/>
    <mergeCell ref="R36:R38"/>
    <mergeCell ref="C37:D37"/>
    <mergeCell ref="C38:D38"/>
    <mergeCell ref="C33:D33"/>
    <mergeCell ref="C34:D34"/>
    <mergeCell ref="C35:D35"/>
    <mergeCell ref="H35:H37"/>
    <mergeCell ref="N35:N37"/>
    <mergeCell ref="R29:R31"/>
    <mergeCell ref="H32:H34"/>
    <mergeCell ref="N32:N34"/>
    <mergeCell ref="H26:H28"/>
    <mergeCell ref="C31:D31"/>
    <mergeCell ref="C32:D32"/>
    <mergeCell ref="R32:R34"/>
    <mergeCell ref="N17:N19"/>
    <mergeCell ref="R15:R17"/>
    <mergeCell ref="H8:H10"/>
    <mergeCell ref="N26:N28"/>
    <mergeCell ref="R18:R20"/>
    <mergeCell ref="N8:N10"/>
    <mergeCell ref="H17:H19"/>
    <mergeCell ref="R22:R24"/>
    <mergeCell ref="N23:N25"/>
    <mergeCell ref="R25:R27"/>
    <mergeCell ref="H23:H25"/>
    <mergeCell ref="B2:Q2"/>
    <mergeCell ref="C4:D5"/>
    <mergeCell ref="N5:N7"/>
    <mergeCell ref="N14:N16"/>
    <mergeCell ref="R8:R10"/>
    <mergeCell ref="C12:E12"/>
    <mergeCell ref="R11:R13"/>
    <mergeCell ref="H14:H16"/>
    <mergeCell ref="H5:H7"/>
  </mergeCells>
  <conditionalFormatting sqref="C16">
    <cfRule type="expression" dxfId="75" priority="87" stopIfTrue="1">
      <formula>$T$23&lt;7</formula>
    </cfRule>
  </conditionalFormatting>
  <conditionalFormatting sqref="E35">
    <cfRule type="expression" dxfId="74" priority="1">
      <formula>$T$23&lt;5</formula>
    </cfRule>
  </conditionalFormatting>
  <conditionalFormatting sqref="E36">
    <cfRule type="expression" dxfId="73" priority="2">
      <formula>$T$23&lt;6</formula>
    </cfRule>
  </conditionalFormatting>
  <conditionalFormatting sqref="E37">
    <cfRule type="expression" dxfId="72" priority="3">
      <formula>$T$23&lt;7</formula>
    </cfRule>
  </conditionalFormatting>
  <conditionalFormatting sqref="E38">
    <cfRule type="expression" dxfId="71" priority="4">
      <formula>$T$23&lt;8</formula>
    </cfRule>
  </conditionalFormatting>
  <conditionalFormatting sqref="G12 K12 G21 K21 G30 K30">
    <cfRule type="expression" dxfId="70" priority="168" stopIfTrue="1">
      <formula>$AI$23=2</formula>
    </cfRule>
  </conditionalFormatting>
  <conditionalFormatting sqref="M4:M11">
    <cfRule type="expression" dxfId="69" priority="11">
      <formula>$AI$23=2</formula>
    </cfRule>
    <cfRule type="expression" dxfId="68" priority="18">
      <formula>$T$23&lt;5</formula>
    </cfRule>
    <cfRule type="expression" dxfId="67" priority="40">
      <formula>$AI$23=2</formula>
    </cfRule>
  </conditionalFormatting>
  <conditionalFormatting sqref="M12">
    <cfRule type="expression" dxfId="66" priority="39" stopIfTrue="1">
      <formula>$AI$23=2</formula>
    </cfRule>
  </conditionalFormatting>
  <conditionalFormatting sqref="M13:M20">
    <cfRule type="expression" dxfId="65" priority="25">
      <formula>$T$23&lt;6</formula>
    </cfRule>
    <cfRule type="expression" dxfId="64" priority="21">
      <formula>$AI$23=2</formula>
    </cfRule>
  </conditionalFormatting>
  <conditionalFormatting sqref="M21">
    <cfRule type="expression" dxfId="63" priority="60" stopIfTrue="1">
      <formula>$AI$23=2</formula>
    </cfRule>
  </conditionalFormatting>
  <conditionalFormatting sqref="M22:M29">
    <cfRule type="expression" dxfId="62" priority="31">
      <formula>$T$23&lt;6</formula>
    </cfRule>
    <cfRule type="expression" dxfId="61" priority="44">
      <formula>$T$23&lt;7</formula>
    </cfRule>
    <cfRule type="expression" dxfId="60" priority="30">
      <formula>$AI$23=2</formula>
    </cfRule>
  </conditionalFormatting>
  <conditionalFormatting sqref="M30">
    <cfRule type="expression" dxfId="59" priority="58" stopIfTrue="1">
      <formula>$AI$23=2</formula>
    </cfRule>
  </conditionalFormatting>
  <conditionalFormatting sqref="M31:M38">
    <cfRule type="expression" dxfId="58" priority="37">
      <formula>$AI$23=2</formula>
    </cfRule>
  </conditionalFormatting>
  <conditionalFormatting sqref="M32:M38">
    <cfRule type="expression" dxfId="57" priority="50">
      <formula>$T$23&lt;8</formula>
    </cfRule>
  </conditionalFormatting>
  <conditionalFormatting sqref="M31:P31">
    <cfRule type="expression" dxfId="56" priority="51">
      <formula>$T$23&lt;8</formula>
    </cfRule>
  </conditionalFormatting>
  <conditionalFormatting sqref="N11:P11 H11:J11 H13:J13 H20:J20 H22:J22 H29:J29 H31:J31">
    <cfRule type="expression" dxfId="55" priority="174" stopIfTrue="1">
      <formula>$AI$23=2</formula>
    </cfRule>
  </conditionalFormatting>
  <conditionalFormatting sqref="N11:P11">
    <cfRule type="expression" dxfId="54" priority="12">
      <formula>$T$23&lt;5</formula>
    </cfRule>
  </conditionalFormatting>
  <conditionalFormatting sqref="N13:P13">
    <cfRule type="expression" dxfId="53" priority="23">
      <formula>$T$23&lt;6</formula>
    </cfRule>
    <cfRule type="expression" dxfId="52" priority="56" stopIfTrue="1">
      <formula>$AI$23=2</formula>
    </cfRule>
  </conditionalFormatting>
  <conditionalFormatting sqref="N20:P20">
    <cfRule type="expression" dxfId="51" priority="52" stopIfTrue="1">
      <formula>$AI$23=2</formula>
    </cfRule>
    <cfRule type="expression" dxfId="50" priority="22">
      <formula>$T$23&lt;6</formula>
    </cfRule>
  </conditionalFormatting>
  <conditionalFormatting sqref="N22:P22">
    <cfRule type="expression" dxfId="49" priority="47">
      <formula>$T$23&lt;7</formula>
    </cfRule>
    <cfRule type="expression" dxfId="48" priority="55" stopIfTrue="1">
      <formula>$AI$23=2</formula>
    </cfRule>
  </conditionalFormatting>
  <conditionalFormatting sqref="N29:P29">
    <cfRule type="expression" dxfId="47" priority="46">
      <formula>$T$23&lt;7</formula>
    </cfRule>
    <cfRule type="expression" dxfId="46" priority="54" stopIfTrue="1">
      <formula>$AI$23=2</formula>
    </cfRule>
  </conditionalFormatting>
  <conditionalFormatting sqref="N31:P31">
    <cfRule type="expression" dxfId="45" priority="53" stopIfTrue="1">
      <formula>$AI$23=2</formula>
    </cfRule>
  </conditionalFormatting>
  <conditionalFormatting sqref="N4:Q4">
    <cfRule type="expression" dxfId="44" priority="8">
      <formula>$AI$23=2</formula>
    </cfRule>
    <cfRule type="expression" dxfId="43" priority="9">
      <formula>$T$23&lt;5</formula>
    </cfRule>
    <cfRule type="expression" dxfId="42" priority="10">
      <formula>$AI$23=2</formula>
    </cfRule>
  </conditionalFormatting>
  <conditionalFormatting sqref="N38:Q38">
    <cfRule type="expression" dxfId="41" priority="35">
      <formula>$AI$23=2</formula>
    </cfRule>
    <cfRule type="expression" dxfId="40" priority="36">
      <formula>$T$23&lt;8</formula>
    </cfRule>
  </conditionalFormatting>
  <conditionalFormatting sqref="Q5:Q11">
    <cfRule type="expression" dxfId="39" priority="5">
      <formula>$AI$23=2</formula>
    </cfRule>
    <cfRule type="expression" dxfId="38" priority="6">
      <formula>$T$23&lt;5</formula>
    </cfRule>
    <cfRule type="expression" dxfId="37" priority="7">
      <formula>$AI$23=2</formula>
    </cfRule>
  </conditionalFormatting>
  <conditionalFormatting sqref="Q12">
    <cfRule type="expression" dxfId="36" priority="61" stopIfTrue="1">
      <formula>$AI$23=2</formula>
    </cfRule>
  </conditionalFormatting>
  <conditionalFormatting sqref="Q13:Q20">
    <cfRule type="expression" dxfId="35" priority="20">
      <formula>$T$23&lt;6</formula>
    </cfRule>
    <cfRule type="expression" dxfId="34" priority="19">
      <formula>$AI$23=2</formula>
    </cfRule>
  </conditionalFormatting>
  <conditionalFormatting sqref="Q21">
    <cfRule type="expression" dxfId="33" priority="59" stopIfTrue="1">
      <formula>$AI$23=2</formula>
    </cfRule>
  </conditionalFormatting>
  <conditionalFormatting sqref="Q22:Q29">
    <cfRule type="expression" dxfId="32" priority="28">
      <formula>$T$23&lt;6</formula>
    </cfRule>
    <cfRule type="expression" dxfId="31" priority="27">
      <formula>$AI$23=2</formula>
    </cfRule>
    <cfRule type="expression" dxfId="30" priority="29">
      <formula>$T$23&lt;7</formula>
    </cfRule>
  </conditionalFormatting>
  <conditionalFormatting sqref="Q30">
    <cfRule type="expression" dxfId="29" priority="57" stopIfTrue="1">
      <formula>$AI$23=2</formula>
    </cfRule>
  </conditionalFormatting>
  <conditionalFormatting sqref="Q31:Q37">
    <cfRule type="expression" dxfId="28" priority="34">
      <formula>$T$23&lt;8</formula>
    </cfRule>
    <cfRule type="expression" dxfId="27" priority="33">
      <formula>$AI$23=2</formula>
    </cfRule>
  </conditionalFormatting>
  <dataValidations count="10">
    <dataValidation type="list" allowBlank="1" showInputMessage="1" showErrorMessage="1" sqref="E31 WVM983071 WLQ983071 WBU983071 VRY983071 VIC983071 UYG983071 UOK983071 UEO983071 TUS983071 TKW983071 TBA983071 SRE983071 SHI983071 RXM983071 RNQ983071 RDU983071 QTY983071 QKC983071 QAG983071 PQK983071 PGO983071 OWS983071 OMW983071 ODA983071 NTE983071 NJI983071 MZM983071 MPQ983071 MFU983071 LVY983071 LMC983071 LCG983071 KSK983071 KIO983071 JYS983071 JOW983071 JFA983071 IVE983071 ILI983071 IBM983071 HRQ983071 HHU983071 GXY983071 GOC983071 GEG983071 FUK983071 FKO983071 FAS983071 EQW983071 EHA983071 DXE983071 DNI983071 DDM983071 CTQ983071 CJU983071 BZY983071 BQC983071 BGG983071 AWK983071 AMO983071 ACS983071 SW983071 JA983071 E983071 WVM917535 WLQ917535 WBU917535 VRY917535 VIC917535 UYG917535 UOK917535 UEO917535 TUS917535 TKW917535 TBA917535 SRE917535 SHI917535 RXM917535 RNQ917535 RDU917535 QTY917535 QKC917535 QAG917535 PQK917535 PGO917535 OWS917535 OMW917535 ODA917535 NTE917535 NJI917535 MZM917535 MPQ917535 MFU917535 LVY917535 LMC917535 LCG917535 KSK917535 KIO917535 JYS917535 JOW917535 JFA917535 IVE917535 ILI917535 IBM917535 HRQ917535 HHU917535 GXY917535 GOC917535 GEG917535 FUK917535 FKO917535 FAS917535 EQW917535 EHA917535 DXE917535 DNI917535 DDM917535 CTQ917535 CJU917535 BZY917535 BQC917535 BGG917535 AWK917535 AMO917535 ACS917535 SW917535 JA917535 E917535 WVM851999 WLQ851999 WBU851999 VRY851999 VIC851999 UYG851999 UOK851999 UEO851999 TUS851999 TKW851999 TBA851999 SRE851999 SHI851999 RXM851999 RNQ851999 RDU851999 QTY851999 QKC851999 QAG851999 PQK851999 PGO851999 OWS851999 OMW851999 ODA851999 NTE851999 NJI851999 MZM851999 MPQ851999 MFU851999 LVY851999 LMC851999 LCG851999 KSK851999 KIO851999 JYS851999 JOW851999 JFA851999 IVE851999 ILI851999 IBM851999 HRQ851999 HHU851999 GXY851999 GOC851999 GEG851999 FUK851999 FKO851999 FAS851999 EQW851999 EHA851999 DXE851999 DNI851999 DDM851999 CTQ851999 CJU851999 BZY851999 BQC851999 BGG851999 AWK851999 AMO851999 ACS851999 SW851999 JA851999 E851999 WVM786463 WLQ786463 WBU786463 VRY786463 VIC786463 UYG786463 UOK786463 UEO786463 TUS786463 TKW786463 TBA786463 SRE786463 SHI786463 RXM786463 RNQ786463 RDU786463 QTY786463 QKC786463 QAG786463 PQK786463 PGO786463 OWS786463 OMW786463 ODA786463 NTE786463 NJI786463 MZM786463 MPQ786463 MFU786463 LVY786463 LMC786463 LCG786463 KSK786463 KIO786463 JYS786463 JOW786463 JFA786463 IVE786463 ILI786463 IBM786463 HRQ786463 HHU786463 GXY786463 GOC786463 GEG786463 FUK786463 FKO786463 FAS786463 EQW786463 EHA786463 DXE786463 DNI786463 DDM786463 CTQ786463 CJU786463 BZY786463 BQC786463 BGG786463 AWK786463 AMO786463 ACS786463 SW786463 JA786463 E786463 WVM720927 WLQ720927 WBU720927 VRY720927 VIC720927 UYG720927 UOK720927 UEO720927 TUS720927 TKW720927 TBA720927 SRE720927 SHI720927 RXM720927 RNQ720927 RDU720927 QTY720927 QKC720927 QAG720927 PQK720927 PGO720927 OWS720927 OMW720927 ODA720927 NTE720927 NJI720927 MZM720927 MPQ720927 MFU720927 LVY720927 LMC720927 LCG720927 KSK720927 KIO720927 JYS720927 JOW720927 JFA720927 IVE720927 ILI720927 IBM720927 HRQ720927 HHU720927 GXY720927 GOC720927 GEG720927 FUK720927 FKO720927 FAS720927 EQW720927 EHA720927 DXE720927 DNI720927 DDM720927 CTQ720927 CJU720927 BZY720927 BQC720927 BGG720927 AWK720927 AMO720927 ACS720927 SW720927 JA720927 E720927 WVM655391 WLQ655391 WBU655391 VRY655391 VIC655391 UYG655391 UOK655391 UEO655391 TUS655391 TKW655391 TBA655391 SRE655391 SHI655391 RXM655391 RNQ655391 RDU655391 QTY655391 QKC655391 QAG655391 PQK655391 PGO655391 OWS655391 OMW655391 ODA655391 NTE655391 NJI655391 MZM655391 MPQ655391 MFU655391 LVY655391 LMC655391 LCG655391 KSK655391 KIO655391 JYS655391 JOW655391 JFA655391 IVE655391 ILI655391 IBM655391 HRQ655391 HHU655391 GXY655391 GOC655391 GEG655391 FUK655391 FKO655391 FAS655391 EQW655391 EHA655391 DXE655391 DNI655391 DDM655391 CTQ655391 CJU655391 BZY655391 BQC655391 BGG655391 AWK655391 AMO655391 ACS655391 SW655391 JA655391 E655391 WVM589855 WLQ589855 WBU589855 VRY589855 VIC589855 UYG589855 UOK589855 UEO589855 TUS589855 TKW589855 TBA589855 SRE589855 SHI589855 RXM589855 RNQ589855 RDU589855 QTY589855 QKC589855 QAG589855 PQK589855 PGO589855 OWS589855 OMW589855 ODA589855 NTE589855 NJI589855 MZM589855 MPQ589855 MFU589855 LVY589855 LMC589855 LCG589855 KSK589855 KIO589855 JYS589855 JOW589855 JFA589855 IVE589855 ILI589855 IBM589855 HRQ589855 HHU589855 GXY589855 GOC589855 GEG589855 FUK589855 FKO589855 FAS589855 EQW589855 EHA589855 DXE589855 DNI589855 DDM589855 CTQ589855 CJU589855 BZY589855 BQC589855 BGG589855 AWK589855 AMO589855 ACS589855 SW589855 JA589855 E589855 WVM524319 WLQ524319 WBU524319 VRY524319 VIC524319 UYG524319 UOK524319 UEO524319 TUS524319 TKW524319 TBA524319 SRE524319 SHI524319 RXM524319 RNQ524319 RDU524319 QTY524319 QKC524319 QAG524319 PQK524319 PGO524319 OWS524319 OMW524319 ODA524319 NTE524319 NJI524319 MZM524319 MPQ524319 MFU524319 LVY524319 LMC524319 LCG524319 KSK524319 KIO524319 JYS524319 JOW524319 JFA524319 IVE524319 ILI524319 IBM524319 HRQ524319 HHU524319 GXY524319 GOC524319 GEG524319 FUK524319 FKO524319 FAS524319 EQW524319 EHA524319 DXE524319 DNI524319 DDM524319 CTQ524319 CJU524319 BZY524319 BQC524319 BGG524319 AWK524319 AMO524319 ACS524319 SW524319 JA524319 E524319 WVM458783 WLQ458783 WBU458783 VRY458783 VIC458783 UYG458783 UOK458783 UEO458783 TUS458783 TKW458783 TBA458783 SRE458783 SHI458783 RXM458783 RNQ458783 RDU458783 QTY458783 QKC458783 QAG458783 PQK458783 PGO458783 OWS458783 OMW458783 ODA458783 NTE458783 NJI458783 MZM458783 MPQ458783 MFU458783 LVY458783 LMC458783 LCG458783 KSK458783 KIO458783 JYS458783 JOW458783 JFA458783 IVE458783 ILI458783 IBM458783 HRQ458783 HHU458783 GXY458783 GOC458783 GEG458783 FUK458783 FKO458783 FAS458783 EQW458783 EHA458783 DXE458783 DNI458783 DDM458783 CTQ458783 CJU458783 BZY458783 BQC458783 BGG458783 AWK458783 AMO458783 ACS458783 SW458783 JA458783 E458783 WVM393247 WLQ393247 WBU393247 VRY393247 VIC393247 UYG393247 UOK393247 UEO393247 TUS393247 TKW393247 TBA393247 SRE393247 SHI393247 RXM393247 RNQ393247 RDU393247 QTY393247 QKC393247 QAG393247 PQK393247 PGO393247 OWS393247 OMW393247 ODA393247 NTE393247 NJI393247 MZM393247 MPQ393247 MFU393247 LVY393247 LMC393247 LCG393247 KSK393247 KIO393247 JYS393247 JOW393247 JFA393247 IVE393247 ILI393247 IBM393247 HRQ393247 HHU393247 GXY393247 GOC393247 GEG393247 FUK393247 FKO393247 FAS393247 EQW393247 EHA393247 DXE393247 DNI393247 DDM393247 CTQ393247 CJU393247 BZY393247 BQC393247 BGG393247 AWK393247 AMO393247 ACS393247 SW393247 JA393247 E393247 WVM327711 WLQ327711 WBU327711 VRY327711 VIC327711 UYG327711 UOK327711 UEO327711 TUS327711 TKW327711 TBA327711 SRE327711 SHI327711 RXM327711 RNQ327711 RDU327711 QTY327711 QKC327711 QAG327711 PQK327711 PGO327711 OWS327711 OMW327711 ODA327711 NTE327711 NJI327711 MZM327711 MPQ327711 MFU327711 LVY327711 LMC327711 LCG327711 KSK327711 KIO327711 JYS327711 JOW327711 JFA327711 IVE327711 ILI327711 IBM327711 HRQ327711 HHU327711 GXY327711 GOC327711 GEG327711 FUK327711 FKO327711 FAS327711 EQW327711 EHA327711 DXE327711 DNI327711 DDM327711 CTQ327711 CJU327711 BZY327711 BQC327711 BGG327711 AWK327711 AMO327711 ACS327711 SW327711 JA327711 E327711 WVM262175 WLQ262175 WBU262175 VRY262175 VIC262175 UYG262175 UOK262175 UEO262175 TUS262175 TKW262175 TBA262175 SRE262175 SHI262175 RXM262175 RNQ262175 RDU262175 QTY262175 QKC262175 QAG262175 PQK262175 PGO262175 OWS262175 OMW262175 ODA262175 NTE262175 NJI262175 MZM262175 MPQ262175 MFU262175 LVY262175 LMC262175 LCG262175 KSK262175 KIO262175 JYS262175 JOW262175 JFA262175 IVE262175 ILI262175 IBM262175 HRQ262175 HHU262175 GXY262175 GOC262175 GEG262175 FUK262175 FKO262175 FAS262175 EQW262175 EHA262175 DXE262175 DNI262175 DDM262175 CTQ262175 CJU262175 BZY262175 BQC262175 BGG262175 AWK262175 AMO262175 ACS262175 SW262175 JA262175 E262175 WVM196639 WLQ196639 WBU196639 VRY196639 VIC196639 UYG196639 UOK196639 UEO196639 TUS196639 TKW196639 TBA196639 SRE196639 SHI196639 RXM196639 RNQ196639 RDU196639 QTY196639 QKC196639 QAG196639 PQK196639 PGO196639 OWS196639 OMW196639 ODA196639 NTE196639 NJI196639 MZM196639 MPQ196639 MFU196639 LVY196639 LMC196639 LCG196639 KSK196639 KIO196639 JYS196639 JOW196639 JFA196639 IVE196639 ILI196639 IBM196639 HRQ196639 HHU196639 GXY196639 GOC196639 GEG196639 FUK196639 FKO196639 FAS196639 EQW196639 EHA196639 DXE196639 DNI196639 DDM196639 CTQ196639 CJU196639 BZY196639 BQC196639 BGG196639 AWK196639 AMO196639 ACS196639 SW196639 JA196639 E196639 WVM131103 WLQ131103 WBU131103 VRY131103 VIC131103 UYG131103 UOK131103 UEO131103 TUS131103 TKW131103 TBA131103 SRE131103 SHI131103 RXM131103 RNQ131103 RDU131103 QTY131103 QKC131103 QAG131103 PQK131103 PGO131103 OWS131103 OMW131103 ODA131103 NTE131103 NJI131103 MZM131103 MPQ131103 MFU131103 LVY131103 LMC131103 LCG131103 KSK131103 KIO131103 JYS131103 JOW131103 JFA131103 IVE131103 ILI131103 IBM131103 HRQ131103 HHU131103 GXY131103 GOC131103 GEG131103 FUK131103 FKO131103 FAS131103 EQW131103 EHA131103 DXE131103 DNI131103 DDM131103 CTQ131103 CJU131103 BZY131103 BQC131103 BGG131103 AWK131103 AMO131103 ACS131103 SW131103 JA131103 E131103 WVM65567 WLQ65567 WBU65567 VRY65567 VIC65567 UYG65567 UOK65567 UEO65567 TUS65567 TKW65567 TBA65567 SRE65567 SHI65567 RXM65567 RNQ65567 RDU65567 QTY65567 QKC65567 QAG65567 PQK65567 PGO65567 OWS65567 OMW65567 ODA65567 NTE65567 NJI65567 MZM65567 MPQ65567 MFU65567 LVY65567 LMC65567 LCG65567 KSK65567 KIO65567 JYS65567 JOW65567 JFA65567 IVE65567 ILI65567 IBM65567 HRQ65567 HHU65567 GXY65567 GOC65567 GEG65567 FUK65567 FKO65567 FAS65567 EQW65567 EHA65567 DXE65567 DNI65567 DDM65567 CTQ65567 CJU65567 BZY65567 BQC65567 BGG65567 AWK65567 AMO65567 ACS65567 SW65567 JA65567 E65567 WVM31 WLQ31 WBU31 VRY31 VIC31 UYG31 UOK31 UEO31 TUS31 TKW31 TBA31 SRE31 SHI31 RXM31 RNQ31 RDU31 QTY31 QKC31 QAG31 PQK31 PGO31 OWS31 OMW31 ODA31 NTE31 NJI31 MZM31 MPQ31 MFU31 LVY31 LMC31 LCG31 KSK31 KIO31 JYS31 JOW31 JFA31 IVE31 ILI31 IBM31 HRQ31 HHU31 GXY31 GOC31 GEG31 FUK31 FKO31 FAS31 EQW31 EHA31 DXE31 DNI31 DDM31 CTQ31 CJU31 BZY31 BQC31 BGG31 AWK31 AMO31 ACS31 SW31 JA31" xr:uid="{00000000-0002-0000-0000-000000000000}">
      <formula1>$C$43:$C$45</formula1>
    </dataValidation>
    <dataValidation type="list" allowBlank="1" showInputMessage="1" showErrorMessage="1" sqref="E38 WVM983078 WLQ983078 WBU983078 VRY983078 VIC983078 UYG983078 UOK983078 UEO983078 TUS983078 TKW983078 TBA983078 SRE983078 SHI983078 RXM983078 RNQ983078 RDU983078 QTY983078 QKC983078 QAG983078 PQK983078 PGO983078 OWS983078 OMW983078 ODA983078 NTE983078 NJI983078 MZM983078 MPQ983078 MFU983078 LVY983078 LMC983078 LCG983078 KSK983078 KIO983078 JYS983078 JOW983078 JFA983078 IVE983078 ILI983078 IBM983078 HRQ983078 HHU983078 GXY983078 GOC983078 GEG983078 FUK983078 FKO983078 FAS983078 EQW983078 EHA983078 DXE983078 DNI983078 DDM983078 CTQ983078 CJU983078 BZY983078 BQC983078 BGG983078 AWK983078 AMO983078 ACS983078 SW983078 JA983078 E983078 WVM917542 WLQ917542 WBU917542 VRY917542 VIC917542 UYG917542 UOK917542 UEO917542 TUS917542 TKW917542 TBA917542 SRE917542 SHI917542 RXM917542 RNQ917542 RDU917542 QTY917542 QKC917542 QAG917542 PQK917542 PGO917542 OWS917542 OMW917542 ODA917542 NTE917542 NJI917542 MZM917542 MPQ917542 MFU917542 LVY917542 LMC917542 LCG917542 KSK917542 KIO917542 JYS917542 JOW917542 JFA917542 IVE917542 ILI917542 IBM917542 HRQ917542 HHU917542 GXY917542 GOC917542 GEG917542 FUK917542 FKO917542 FAS917542 EQW917542 EHA917542 DXE917542 DNI917542 DDM917542 CTQ917542 CJU917542 BZY917542 BQC917542 BGG917542 AWK917542 AMO917542 ACS917542 SW917542 JA917542 E917542 WVM852006 WLQ852006 WBU852006 VRY852006 VIC852006 UYG852006 UOK852006 UEO852006 TUS852006 TKW852006 TBA852006 SRE852006 SHI852006 RXM852006 RNQ852006 RDU852006 QTY852006 QKC852006 QAG852006 PQK852006 PGO852006 OWS852006 OMW852006 ODA852006 NTE852006 NJI852006 MZM852006 MPQ852006 MFU852006 LVY852006 LMC852006 LCG852006 KSK852006 KIO852006 JYS852006 JOW852006 JFA852006 IVE852006 ILI852006 IBM852006 HRQ852006 HHU852006 GXY852006 GOC852006 GEG852006 FUK852006 FKO852006 FAS852006 EQW852006 EHA852006 DXE852006 DNI852006 DDM852006 CTQ852006 CJU852006 BZY852006 BQC852006 BGG852006 AWK852006 AMO852006 ACS852006 SW852006 JA852006 E852006 WVM786470 WLQ786470 WBU786470 VRY786470 VIC786470 UYG786470 UOK786470 UEO786470 TUS786470 TKW786470 TBA786470 SRE786470 SHI786470 RXM786470 RNQ786470 RDU786470 QTY786470 QKC786470 QAG786470 PQK786470 PGO786470 OWS786470 OMW786470 ODA786470 NTE786470 NJI786470 MZM786470 MPQ786470 MFU786470 LVY786470 LMC786470 LCG786470 KSK786470 KIO786470 JYS786470 JOW786470 JFA786470 IVE786470 ILI786470 IBM786470 HRQ786470 HHU786470 GXY786470 GOC786470 GEG786470 FUK786470 FKO786470 FAS786470 EQW786470 EHA786470 DXE786470 DNI786470 DDM786470 CTQ786470 CJU786470 BZY786470 BQC786470 BGG786470 AWK786470 AMO786470 ACS786470 SW786470 JA786470 E786470 WVM720934 WLQ720934 WBU720934 VRY720934 VIC720934 UYG720934 UOK720934 UEO720934 TUS720934 TKW720934 TBA720934 SRE720934 SHI720934 RXM720934 RNQ720934 RDU720934 QTY720934 QKC720934 QAG720934 PQK720934 PGO720934 OWS720934 OMW720934 ODA720934 NTE720934 NJI720934 MZM720934 MPQ720934 MFU720934 LVY720934 LMC720934 LCG720934 KSK720934 KIO720934 JYS720934 JOW720934 JFA720934 IVE720934 ILI720934 IBM720934 HRQ720934 HHU720934 GXY720934 GOC720934 GEG720934 FUK720934 FKO720934 FAS720934 EQW720934 EHA720934 DXE720934 DNI720934 DDM720934 CTQ720934 CJU720934 BZY720934 BQC720934 BGG720934 AWK720934 AMO720934 ACS720934 SW720934 JA720934 E720934 WVM655398 WLQ655398 WBU655398 VRY655398 VIC655398 UYG655398 UOK655398 UEO655398 TUS655398 TKW655398 TBA655398 SRE655398 SHI655398 RXM655398 RNQ655398 RDU655398 QTY655398 QKC655398 QAG655398 PQK655398 PGO655398 OWS655398 OMW655398 ODA655398 NTE655398 NJI655398 MZM655398 MPQ655398 MFU655398 LVY655398 LMC655398 LCG655398 KSK655398 KIO655398 JYS655398 JOW655398 JFA655398 IVE655398 ILI655398 IBM655398 HRQ655398 HHU655398 GXY655398 GOC655398 GEG655398 FUK655398 FKO655398 FAS655398 EQW655398 EHA655398 DXE655398 DNI655398 DDM655398 CTQ655398 CJU655398 BZY655398 BQC655398 BGG655398 AWK655398 AMO655398 ACS655398 SW655398 JA655398 E655398 WVM589862 WLQ589862 WBU589862 VRY589862 VIC589862 UYG589862 UOK589862 UEO589862 TUS589862 TKW589862 TBA589862 SRE589862 SHI589862 RXM589862 RNQ589862 RDU589862 QTY589862 QKC589862 QAG589862 PQK589862 PGO589862 OWS589862 OMW589862 ODA589862 NTE589862 NJI589862 MZM589862 MPQ589862 MFU589862 LVY589862 LMC589862 LCG589862 KSK589862 KIO589862 JYS589862 JOW589862 JFA589862 IVE589862 ILI589862 IBM589862 HRQ589862 HHU589862 GXY589862 GOC589862 GEG589862 FUK589862 FKO589862 FAS589862 EQW589862 EHA589862 DXE589862 DNI589862 DDM589862 CTQ589862 CJU589862 BZY589862 BQC589862 BGG589862 AWK589862 AMO589862 ACS589862 SW589862 JA589862 E589862 WVM524326 WLQ524326 WBU524326 VRY524326 VIC524326 UYG524326 UOK524326 UEO524326 TUS524326 TKW524326 TBA524326 SRE524326 SHI524326 RXM524326 RNQ524326 RDU524326 QTY524326 QKC524326 QAG524326 PQK524326 PGO524326 OWS524326 OMW524326 ODA524326 NTE524326 NJI524326 MZM524326 MPQ524326 MFU524326 LVY524326 LMC524326 LCG524326 KSK524326 KIO524326 JYS524326 JOW524326 JFA524326 IVE524326 ILI524326 IBM524326 HRQ524326 HHU524326 GXY524326 GOC524326 GEG524326 FUK524326 FKO524326 FAS524326 EQW524326 EHA524326 DXE524326 DNI524326 DDM524326 CTQ524326 CJU524326 BZY524326 BQC524326 BGG524326 AWK524326 AMO524326 ACS524326 SW524326 JA524326 E524326 WVM458790 WLQ458790 WBU458790 VRY458790 VIC458790 UYG458790 UOK458790 UEO458790 TUS458790 TKW458790 TBA458790 SRE458790 SHI458790 RXM458790 RNQ458790 RDU458790 QTY458790 QKC458790 QAG458790 PQK458790 PGO458790 OWS458790 OMW458790 ODA458790 NTE458790 NJI458790 MZM458790 MPQ458790 MFU458790 LVY458790 LMC458790 LCG458790 KSK458790 KIO458790 JYS458790 JOW458790 JFA458790 IVE458790 ILI458790 IBM458790 HRQ458790 HHU458790 GXY458790 GOC458790 GEG458790 FUK458790 FKO458790 FAS458790 EQW458790 EHA458790 DXE458790 DNI458790 DDM458790 CTQ458790 CJU458790 BZY458790 BQC458790 BGG458790 AWK458790 AMO458790 ACS458790 SW458790 JA458790 E458790 WVM393254 WLQ393254 WBU393254 VRY393254 VIC393254 UYG393254 UOK393254 UEO393254 TUS393254 TKW393254 TBA393254 SRE393254 SHI393254 RXM393254 RNQ393254 RDU393254 QTY393254 QKC393254 QAG393254 PQK393254 PGO393254 OWS393254 OMW393254 ODA393254 NTE393254 NJI393254 MZM393254 MPQ393254 MFU393254 LVY393254 LMC393254 LCG393254 KSK393254 KIO393254 JYS393254 JOW393254 JFA393254 IVE393254 ILI393254 IBM393254 HRQ393254 HHU393254 GXY393254 GOC393254 GEG393254 FUK393254 FKO393254 FAS393254 EQW393254 EHA393254 DXE393254 DNI393254 DDM393254 CTQ393254 CJU393254 BZY393254 BQC393254 BGG393254 AWK393254 AMO393254 ACS393254 SW393254 JA393254 E393254 WVM327718 WLQ327718 WBU327718 VRY327718 VIC327718 UYG327718 UOK327718 UEO327718 TUS327718 TKW327718 TBA327718 SRE327718 SHI327718 RXM327718 RNQ327718 RDU327718 QTY327718 QKC327718 QAG327718 PQK327718 PGO327718 OWS327718 OMW327718 ODA327718 NTE327718 NJI327718 MZM327718 MPQ327718 MFU327718 LVY327718 LMC327718 LCG327718 KSK327718 KIO327718 JYS327718 JOW327718 JFA327718 IVE327718 ILI327718 IBM327718 HRQ327718 HHU327718 GXY327718 GOC327718 GEG327718 FUK327718 FKO327718 FAS327718 EQW327718 EHA327718 DXE327718 DNI327718 DDM327718 CTQ327718 CJU327718 BZY327718 BQC327718 BGG327718 AWK327718 AMO327718 ACS327718 SW327718 JA327718 E327718 WVM262182 WLQ262182 WBU262182 VRY262182 VIC262182 UYG262182 UOK262182 UEO262182 TUS262182 TKW262182 TBA262182 SRE262182 SHI262182 RXM262182 RNQ262182 RDU262182 QTY262182 QKC262182 QAG262182 PQK262182 PGO262182 OWS262182 OMW262182 ODA262182 NTE262182 NJI262182 MZM262182 MPQ262182 MFU262182 LVY262182 LMC262182 LCG262182 KSK262182 KIO262182 JYS262182 JOW262182 JFA262182 IVE262182 ILI262182 IBM262182 HRQ262182 HHU262182 GXY262182 GOC262182 GEG262182 FUK262182 FKO262182 FAS262182 EQW262182 EHA262182 DXE262182 DNI262182 DDM262182 CTQ262182 CJU262182 BZY262182 BQC262182 BGG262182 AWK262182 AMO262182 ACS262182 SW262182 JA262182 E262182 WVM196646 WLQ196646 WBU196646 VRY196646 VIC196646 UYG196646 UOK196646 UEO196646 TUS196646 TKW196646 TBA196646 SRE196646 SHI196646 RXM196646 RNQ196646 RDU196646 QTY196646 QKC196646 QAG196646 PQK196646 PGO196646 OWS196646 OMW196646 ODA196646 NTE196646 NJI196646 MZM196646 MPQ196646 MFU196646 LVY196646 LMC196646 LCG196646 KSK196646 KIO196646 JYS196646 JOW196646 JFA196646 IVE196646 ILI196646 IBM196646 HRQ196646 HHU196646 GXY196646 GOC196646 GEG196646 FUK196646 FKO196646 FAS196646 EQW196646 EHA196646 DXE196646 DNI196646 DDM196646 CTQ196646 CJU196646 BZY196646 BQC196646 BGG196646 AWK196646 AMO196646 ACS196646 SW196646 JA196646 E196646 WVM131110 WLQ131110 WBU131110 VRY131110 VIC131110 UYG131110 UOK131110 UEO131110 TUS131110 TKW131110 TBA131110 SRE131110 SHI131110 RXM131110 RNQ131110 RDU131110 QTY131110 QKC131110 QAG131110 PQK131110 PGO131110 OWS131110 OMW131110 ODA131110 NTE131110 NJI131110 MZM131110 MPQ131110 MFU131110 LVY131110 LMC131110 LCG131110 KSK131110 KIO131110 JYS131110 JOW131110 JFA131110 IVE131110 ILI131110 IBM131110 HRQ131110 HHU131110 GXY131110 GOC131110 GEG131110 FUK131110 FKO131110 FAS131110 EQW131110 EHA131110 DXE131110 DNI131110 DDM131110 CTQ131110 CJU131110 BZY131110 BQC131110 BGG131110 AWK131110 AMO131110 ACS131110 SW131110 JA131110 E131110 WVM65574 WLQ65574 WBU65574 VRY65574 VIC65574 UYG65574 UOK65574 UEO65574 TUS65574 TKW65574 TBA65574 SRE65574 SHI65574 RXM65574 RNQ65574 RDU65574 QTY65574 QKC65574 QAG65574 PQK65574 PGO65574 OWS65574 OMW65574 ODA65574 NTE65574 NJI65574 MZM65574 MPQ65574 MFU65574 LVY65574 LMC65574 LCG65574 KSK65574 KIO65574 JYS65574 JOW65574 JFA65574 IVE65574 ILI65574 IBM65574 HRQ65574 HHU65574 GXY65574 GOC65574 GEG65574 FUK65574 FKO65574 FAS65574 EQW65574 EHA65574 DXE65574 DNI65574 DDM65574 CTQ65574 CJU65574 BZY65574 BQC65574 BGG65574 AWK65574 AMO65574 ACS65574 SW65574 JA65574 E65574 WVM38 WLQ38 WBU38 VRY38 VIC38 UYG38 UOK38 UEO38 TUS38 TKW38 TBA38 SRE38 SHI38 RXM38 RNQ38 RDU38 QTY38 QKC38 QAG38 PQK38 PGO38 OWS38 OMW38 ODA38 NTE38 NJI38 MZM38 MPQ38 MFU38 LVY38 LMC38 LCG38 KSK38 KIO38 JYS38 JOW38 JFA38 IVE38 ILI38 IBM38 HRQ38 HHU38 GXY38 GOC38 GEG38 FUK38 FKO38 FAS38 EQW38 EHA38 DXE38 DNI38 DDM38 CTQ38 CJU38 BZY38 BQC38 BGG38 AWK38 AMO38 ACS38 SW38 JA38" xr:uid="{00000000-0002-0000-0000-000001000000}">
      <formula1>$J$43:$J$45</formula1>
    </dataValidation>
    <dataValidation type="list" allowBlank="1" showInputMessage="1" showErrorMessage="1" sqref="E37 WVM983077 WLQ983077 WBU983077 VRY983077 VIC983077 UYG983077 UOK983077 UEO983077 TUS983077 TKW983077 TBA983077 SRE983077 SHI983077 RXM983077 RNQ983077 RDU983077 QTY983077 QKC983077 QAG983077 PQK983077 PGO983077 OWS983077 OMW983077 ODA983077 NTE983077 NJI983077 MZM983077 MPQ983077 MFU983077 LVY983077 LMC983077 LCG983077 KSK983077 KIO983077 JYS983077 JOW983077 JFA983077 IVE983077 ILI983077 IBM983077 HRQ983077 HHU983077 GXY983077 GOC983077 GEG983077 FUK983077 FKO983077 FAS983077 EQW983077 EHA983077 DXE983077 DNI983077 DDM983077 CTQ983077 CJU983077 BZY983077 BQC983077 BGG983077 AWK983077 AMO983077 ACS983077 SW983077 JA983077 E983077 WVM917541 WLQ917541 WBU917541 VRY917541 VIC917541 UYG917541 UOK917541 UEO917541 TUS917541 TKW917541 TBA917541 SRE917541 SHI917541 RXM917541 RNQ917541 RDU917541 QTY917541 QKC917541 QAG917541 PQK917541 PGO917541 OWS917541 OMW917541 ODA917541 NTE917541 NJI917541 MZM917541 MPQ917541 MFU917541 LVY917541 LMC917541 LCG917541 KSK917541 KIO917541 JYS917541 JOW917541 JFA917541 IVE917541 ILI917541 IBM917541 HRQ917541 HHU917541 GXY917541 GOC917541 GEG917541 FUK917541 FKO917541 FAS917541 EQW917541 EHA917541 DXE917541 DNI917541 DDM917541 CTQ917541 CJU917541 BZY917541 BQC917541 BGG917541 AWK917541 AMO917541 ACS917541 SW917541 JA917541 E917541 WVM852005 WLQ852005 WBU852005 VRY852005 VIC852005 UYG852005 UOK852005 UEO852005 TUS852005 TKW852005 TBA852005 SRE852005 SHI852005 RXM852005 RNQ852005 RDU852005 QTY852005 QKC852005 QAG852005 PQK852005 PGO852005 OWS852005 OMW852005 ODA852005 NTE852005 NJI852005 MZM852005 MPQ852005 MFU852005 LVY852005 LMC852005 LCG852005 KSK852005 KIO852005 JYS852005 JOW852005 JFA852005 IVE852005 ILI852005 IBM852005 HRQ852005 HHU852005 GXY852005 GOC852005 GEG852005 FUK852005 FKO852005 FAS852005 EQW852005 EHA852005 DXE852005 DNI852005 DDM852005 CTQ852005 CJU852005 BZY852005 BQC852005 BGG852005 AWK852005 AMO852005 ACS852005 SW852005 JA852005 E852005 WVM786469 WLQ786469 WBU786469 VRY786469 VIC786469 UYG786469 UOK786469 UEO786469 TUS786469 TKW786469 TBA786469 SRE786469 SHI786469 RXM786469 RNQ786469 RDU786469 QTY786469 QKC786469 QAG786469 PQK786469 PGO786469 OWS786469 OMW786469 ODA786469 NTE786469 NJI786469 MZM786469 MPQ786469 MFU786469 LVY786469 LMC786469 LCG786469 KSK786469 KIO786469 JYS786469 JOW786469 JFA786469 IVE786469 ILI786469 IBM786469 HRQ786469 HHU786469 GXY786469 GOC786469 GEG786469 FUK786469 FKO786469 FAS786469 EQW786469 EHA786469 DXE786469 DNI786469 DDM786469 CTQ786469 CJU786469 BZY786469 BQC786469 BGG786469 AWK786469 AMO786469 ACS786469 SW786469 JA786469 E786469 WVM720933 WLQ720933 WBU720933 VRY720933 VIC720933 UYG720933 UOK720933 UEO720933 TUS720933 TKW720933 TBA720933 SRE720933 SHI720933 RXM720933 RNQ720933 RDU720933 QTY720933 QKC720933 QAG720933 PQK720933 PGO720933 OWS720933 OMW720933 ODA720933 NTE720933 NJI720933 MZM720933 MPQ720933 MFU720933 LVY720933 LMC720933 LCG720933 KSK720933 KIO720933 JYS720933 JOW720933 JFA720933 IVE720933 ILI720933 IBM720933 HRQ720933 HHU720933 GXY720933 GOC720933 GEG720933 FUK720933 FKO720933 FAS720933 EQW720933 EHA720933 DXE720933 DNI720933 DDM720933 CTQ720933 CJU720933 BZY720933 BQC720933 BGG720933 AWK720933 AMO720933 ACS720933 SW720933 JA720933 E720933 WVM655397 WLQ655397 WBU655397 VRY655397 VIC655397 UYG655397 UOK655397 UEO655397 TUS655397 TKW655397 TBA655397 SRE655397 SHI655397 RXM655397 RNQ655397 RDU655397 QTY655397 QKC655397 QAG655397 PQK655397 PGO655397 OWS655397 OMW655397 ODA655397 NTE655397 NJI655397 MZM655397 MPQ655397 MFU655397 LVY655397 LMC655397 LCG655397 KSK655397 KIO655397 JYS655397 JOW655397 JFA655397 IVE655397 ILI655397 IBM655397 HRQ655397 HHU655397 GXY655397 GOC655397 GEG655397 FUK655397 FKO655397 FAS655397 EQW655397 EHA655397 DXE655397 DNI655397 DDM655397 CTQ655397 CJU655397 BZY655397 BQC655397 BGG655397 AWK655397 AMO655397 ACS655397 SW655397 JA655397 E655397 WVM589861 WLQ589861 WBU589861 VRY589861 VIC589861 UYG589861 UOK589861 UEO589861 TUS589861 TKW589861 TBA589861 SRE589861 SHI589861 RXM589861 RNQ589861 RDU589861 QTY589861 QKC589861 QAG589861 PQK589861 PGO589861 OWS589861 OMW589861 ODA589861 NTE589861 NJI589861 MZM589861 MPQ589861 MFU589861 LVY589861 LMC589861 LCG589861 KSK589861 KIO589861 JYS589861 JOW589861 JFA589861 IVE589861 ILI589861 IBM589861 HRQ589861 HHU589861 GXY589861 GOC589861 GEG589861 FUK589861 FKO589861 FAS589861 EQW589861 EHA589861 DXE589861 DNI589861 DDM589861 CTQ589861 CJU589861 BZY589861 BQC589861 BGG589861 AWK589861 AMO589861 ACS589861 SW589861 JA589861 E589861 WVM524325 WLQ524325 WBU524325 VRY524325 VIC524325 UYG524325 UOK524325 UEO524325 TUS524325 TKW524325 TBA524325 SRE524325 SHI524325 RXM524325 RNQ524325 RDU524325 QTY524325 QKC524325 QAG524325 PQK524325 PGO524325 OWS524325 OMW524325 ODA524325 NTE524325 NJI524325 MZM524325 MPQ524325 MFU524325 LVY524325 LMC524325 LCG524325 KSK524325 KIO524325 JYS524325 JOW524325 JFA524325 IVE524325 ILI524325 IBM524325 HRQ524325 HHU524325 GXY524325 GOC524325 GEG524325 FUK524325 FKO524325 FAS524325 EQW524325 EHA524325 DXE524325 DNI524325 DDM524325 CTQ524325 CJU524325 BZY524325 BQC524325 BGG524325 AWK524325 AMO524325 ACS524325 SW524325 JA524325 E524325 WVM458789 WLQ458789 WBU458789 VRY458789 VIC458789 UYG458789 UOK458789 UEO458789 TUS458789 TKW458789 TBA458789 SRE458789 SHI458789 RXM458789 RNQ458789 RDU458789 QTY458789 QKC458789 QAG458789 PQK458789 PGO458789 OWS458789 OMW458789 ODA458789 NTE458789 NJI458789 MZM458789 MPQ458789 MFU458789 LVY458789 LMC458789 LCG458789 KSK458789 KIO458789 JYS458789 JOW458789 JFA458789 IVE458789 ILI458789 IBM458789 HRQ458789 HHU458789 GXY458789 GOC458789 GEG458789 FUK458789 FKO458789 FAS458789 EQW458789 EHA458789 DXE458789 DNI458789 DDM458789 CTQ458789 CJU458789 BZY458789 BQC458789 BGG458789 AWK458789 AMO458789 ACS458789 SW458789 JA458789 E458789 WVM393253 WLQ393253 WBU393253 VRY393253 VIC393253 UYG393253 UOK393253 UEO393253 TUS393253 TKW393253 TBA393253 SRE393253 SHI393253 RXM393253 RNQ393253 RDU393253 QTY393253 QKC393253 QAG393253 PQK393253 PGO393253 OWS393253 OMW393253 ODA393253 NTE393253 NJI393253 MZM393253 MPQ393253 MFU393253 LVY393253 LMC393253 LCG393253 KSK393253 KIO393253 JYS393253 JOW393253 JFA393253 IVE393253 ILI393253 IBM393253 HRQ393253 HHU393253 GXY393253 GOC393253 GEG393253 FUK393253 FKO393253 FAS393253 EQW393253 EHA393253 DXE393253 DNI393253 DDM393253 CTQ393253 CJU393253 BZY393253 BQC393253 BGG393253 AWK393253 AMO393253 ACS393253 SW393253 JA393253 E393253 WVM327717 WLQ327717 WBU327717 VRY327717 VIC327717 UYG327717 UOK327717 UEO327717 TUS327717 TKW327717 TBA327717 SRE327717 SHI327717 RXM327717 RNQ327717 RDU327717 QTY327717 QKC327717 QAG327717 PQK327717 PGO327717 OWS327717 OMW327717 ODA327717 NTE327717 NJI327717 MZM327717 MPQ327717 MFU327717 LVY327717 LMC327717 LCG327717 KSK327717 KIO327717 JYS327717 JOW327717 JFA327717 IVE327717 ILI327717 IBM327717 HRQ327717 HHU327717 GXY327717 GOC327717 GEG327717 FUK327717 FKO327717 FAS327717 EQW327717 EHA327717 DXE327717 DNI327717 DDM327717 CTQ327717 CJU327717 BZY327717 BQC327717 BGG327717 AWK327717 AMO327717 ACS327717 SW327717 JA327717 E327717 WVM262181 WLQ262181 WBU262181 VRY262181 VIC262181 UYG262181 UOK262181 UEO262181 TUS262181 TKW262181 TBA262181 SRE262181 SHI262181 RXM262181 RNQ262181 RDU262181 QTY262181 QKC262181 QAG262181 PQK262181 PGO262181 OWS262181 OMW262181 ODA262181 NTE262181 NJI262181 MZM262181 MPQ262181 MFU262181 LVY262181 LMC262181 LCG262181 KSK262181 KIO262181 JYS262181 JOW262181 JFA262181 IVE262181 ILI262181 IBM262181 HRQ262181 HHU262181 GXY262181 GOC262181 GEG262181 FUK262181 FKO262181 FAS262181 EQW262181 EHA262181 DXE262181 DNI262181 DDM262181 CTQ262181 CJU262181 BZY262181 BQC262181 BGG262181 AWK262181 AMO262181 ACS262181 SW262181 JA262181 E262181 WVM196645 WLQ196645 WBU196645 VRY196645 VIC196645 UYG196645 UOK196645 UEO196645 TUS196645 TKW196645 TBA196645 SRE196645 SHI196645 RXM196645 RNQ196645 RDU196645 QTY196645 QKC196645 QAG196645 PQK196645 PGO196645 OWS196645 OMW196645 ODA196645 NTE196645 NJI196645 MZM196645 MPQ196645 MFU196645 LVY196645 LMC196645 LCG196645 KSK196645 KIO196645 JYS196645 JOW196645 JFA196645 IVE196645 ILI196645 IBM196645 HRQ196645 HHU196645 GXY196645 GOC196645 GEG196645 FUK196645 FKO196645 FAS196645 EQW196645 EHA196645 DXE196645 DNI196645 DDM196645 CTQ196645 CJU196645 BZY196645 BQC196645 BGG196645 AWK196645 AMO196645 ACS196645 SW196645 JA196645 E196645 WVM131109 WLQ131109 WBU131109 VRY131109 VIC131109 UYG131109 UOK131109 UEO131109 TUS131109 TKW131109 TBA131109 SRE131109 SHI131109 RXM131109 RNQ131109 RDU131109 QTY131109 QKC131109 QAG131109 PQK131109 PGO131109 OWS131109 OMW131109 ODA131109 NTE131109 NJI131109 MZM131109 MPQ131109 MFU131109 LVY131109 LMC131109 LCG131109 KSK131109 KIO131109 JYS131109 JOW131109 JFA131109 IVE131109 ILI131109 IBM131109 HRQ131109 HHU131109 GXY131109 GOC131109 GEG131109 FUK131109 FKO131109 FAS131109 EQW131109 EHA131109 DXE131109 DNI131109 DDM131109 CTQ131109 CJU131109 BZY131109 BQC131109 BGG131109 AWK131109 AMO131109 ACS131109 SW131109 JA131109 E131109 WVM65573 WLQ65573 WBU65573 VRY65573 VIC65573 UYG65573 UOK65573 UEO65573 TUS65573 TKW65573 TBA65573 SRE65573 SHI65573 RXM65573 RNQ65573 RDU65573 QTY65573 QKC65573 QAG65573 PQK65573 PGO65573 OWS65573 OMW65573 ODA65573 NTE65573 NJI65573 MZM65573 MPQ65573 MFU65573 LVY65573 LMC65573 LCG65573 KSK65573 KIO65573 JYS65573 JOW65573 JFA65573 IVE65573 ILI65573 IBM65573 HRQ65573 HHU65573 GXY65573 GOC65573 GEG65573 FUK65573 FKO65573 FAS65573 EQW65573 EHA65573 DXE65573 DNI65573 DDM65573 CTQ65573 CJU65573 BZY65573 BQC65573 BGG65573 AWK65573 AMO65573 ACS65573 SW65573 JA65573 E65573 WVM37 WLQ37 WBU37 VRY37 VIC37 UYG37 UOK37 UEO37 TUS37 TKW37 TBA37 SRE37 SHI37 RXM37 RNQ37 RDU37 QTY37 QKC37 QAG37 PQK37 PGO37 OWS37 OMW37 ODA37 NTE37 NJI37 MZM37 MPQ37 MFU37 LVY37 LMC37 LCG37 KSK37 KIO37 JYS37 JOW37 JFA37 IVE37 ILI37 IBM37 HRQ37 HHU37 GXY37 GOC37 GEG37 FUK37 FKO37 FAS37 EQW37 EHA37 DXE37 DNI37 DDM37 CTQ37 CJU37 BZY37 BQC37 BGG37 AWK37 AMO37 ACS37 SW37 JA37" xr:uid="{00000000-0002-0000-0000-000002000000}">
      <formula1>$I$43:$I$45</formula1>
    </dataValidation>
    <dataValidation type="list" allowBlank="1" showInputMessage="1" showErrorMessage="1" sqref="E36 WVM983076 WLQ983076 WBU983076 VRY983076 VIC983076 UYG983076 UOK983076 UEO983076 TUS983076 TKW983076 TBA983076 SRE983076 SHI983076 RXM983076 RNQ983076 RDU983076 QTY983076 QKC983076 QAG983076 PQK983076 PGO983076 OWS983076 OMW983076 ODA983076 NTE983076 NJI983076 MZM983076 MPQ983076 MFU983076 LVY983076 LMC983076 LCG983076 KSK983076 KIO983076 JYS983076 JOW983076 JFA983076 IVE983076 ILI983076 IBM983076 HRQ983076 HHU983076 GXY983076 GOC983076 GEG983076 FUK983076 FKO983076 FAS983076 EQW983076 EHA983076 DXE983076 DNI983076 DDM983076 CTQ983076 CJU983076 BZY983076 BQC983076 BGG983076 AWK983076 AMO983076 ACS983076 SW983076 JA983076 E983076 WVM917540 WLQ917540 WBU917540 VRY917540 VIC917540 UYG917540 UOK917540 UEO917540 TUS917540 TKW917540 TBA917540 SRE917540 SHI917540 RXM917540 RNQ917540 RDU917540 QTY917540 QKC917540 QAG917540 PQK917540 PGO917540 OWS917540 OMW917540 ODA917540 NTE917540 NJI917540 MZM917540 MPQ917540 MFU917540 LVY917540 LMC917540 LCG917540 KSK917540 KIO917540 JYS917540 JOW917540 JFA917540 IVE917540 ILI917540 IBM917540 HRQ917540 HHU917540 GXY917540 GOC917540 GEG917540 FUK917540 FKO917540 FAS917540 EQW917540 EHA917540 DXE917540 DNI917540 DDM917540 CTQ917540 CJU917540 BZY917540 BQC917540 BGG917540 AWK917540 AMO917540 ACS917540 SW917540 JA917540 E917540 WVM852004 WLQ852004 WBU852004 VRY852004 VIC852004 UYG852004 UOK852004 UEO852004 TUS852004 TKW852004 TBA852004 SRE852004 SHI852004 RXM852004 RNQ852004 RDU852004 QTY852004 QKC852004 QAG852004 PQK852004 PGO852004 OWS852004 OMW852004 ODA852004 NTE852004 NJI852004 MZM852004 MPQ852004 MFU852004 LVY852004 LMC852004 LCG852004 KSK852004 KIO852004 JYS852004 JOW852004 JFA852004 IVE852004 ILI852004 IBM852004 HRQ852004 HHU852004 GXY852004 GOC852004 GEG852004 FUK852004 FKO852004 FAS852004 EQW852004 EHA852004 DXE852004 DNI852004 DDM852004 CTQ852004 CJU852004 BZY852004 BQC852004 BGG852004 AWK852004 AMO852004 ACS852004 SW852004 JA852004 E852004 WVM786468 WLQ786468 WBU786468 VRY786468 VIC786468 UYG786468 UOK786468 UEO786468 TUS786468 TKW786468 TBA786468 SRE786468 SHI786468 RXM786468 RNQ786468 RDU786468 QTY786468 QKC786468 QAG786468 PQK786468 PGO786468 OWS786468 OMW786468 ODA786468 NTE786468 NJI786468 MZM786468 MPQ786468 MFU786468 LVY786468 LMC786468 LCG786468 KSK786468 KIO786468 JYS786468 JOW786468 JFA786468 IVE786468 ILI786468 IBM786468 HRQ786468 HHU786468 GXY786468 GOC786468 GEG786468 FUK786468 FKO786468 FAS786468 EQW786468 EHA786468 DXE786468 DNI786468 DDM786468 CTQ786468 CJU786468 BZY786468 BQC786468 BGG786468 AWK786468 AMO786468 ACS786468 SW786468 JA786468 E786468 WVM720932 WLQ720932 WBU720932 VRY720932 VIC720932 UYG720932 UOK720932 UEO720932 TUS720932 TKW720932 TBA720932 SRE720932 SHI720932 RXM720932 RNQ720932 RDU720932 QTY720932 QKC720932 QAG720932 PQK720932 PGO720932 OWS720932 OMW720932 ODA720932 NTE720932 NJI720932 MZM720932 MPQ720932 MFU720932 LVY720932 LMC720932 LCG720932 KSK720932 KIO720932 JYS720932 JOW720932 JFA720932 IVE720932 ILI720932 IBM720932 HRQ720932 HHU720932 GXY720932 GOC720932 GEG720932 FUK720932 FKO720932 FAS720932 EQW720932 EHA720932 DXE720932 DNI720932 DDM720932 CTQ720932 CJU720932 BZY720932 BQC720932 BGG720932 AWK720932 AMO720932 ACS720932 SW720932 JA720932 E720932 WVM655396 WLQ655396 WBU655396 VRY655396 VIC655396 UYG655396 UOK655396 UEO655396 TUS655396 TKW655396 TBA655396 SRE655396 SHI655396 RXM655396 RNQ655396 RDU655396 QTY655396 QKC655396 QAG655396 PQK655396 PGO655396 OWS655396 OMW655396 ODA655396 NTE655396 NJI655396 MZM655396 MPQ655396 MFU655396 LVY655396 LMC655396 LCG655396 KSK655396 KIO655396 JYS655396 JOW655396 JFA655396 IVE655396 ILI655396 IBM655396 HRQ655396 HHU655396 GXY655396 GOC655396 GEG655396 FUK655396 FKO655396 FAS655396 EQW655396 EHA655396 DXE655396 DNI655396 DDM655396 CTQ655396 CJU655396 BZY655396 BQC655396 BGG655396 AWK655396 AMO655396 ACS655396 SW655396 JA655396 E655396 WVM589860 WLQ589860 WBU589860 VRY589860 VIC589860 UYG589860 UOK589860 UEO589860 TUS589860 TKW589860 TBA589860 SRE589860 SHI589860 RXM589860 RNQ589860 RDU589860 QTY589860 QKC589860 QAG589860 PQK589860 PGO589860 OWS589860 OMW589860 ODA589860 NTE589860 NJI589860 MZM589860 MPQ589860 MFU589860 LVY589860 LMC589860 LCG589860 KSK589860 KIO589860 JYS589860 JOW589860 JFA589860 IVE589860 ILI589860 IBM589860 HRQ589860 HHU589860 GXY589860 GOC589860 GEG589860 FUK589860 FKO589860 FAS589860 EQW589860 EHA589860 DXE589860 DNI589860 DDM589860 CTQ589860 CJU589860 BZY589860 BQC589860 BGG589860 AWK589860 AMO589860 ACS589860 SW589860 JA589860 E589860 WVM524324 WLQ524324 WBU524324 VRY524324 VIC524324 UYG524324 UOK524324 UEO524324 TUS524324 TKW524324 TBA524324 SRE524324 SHI524324 RXM524324 RNQ524324 RDU524324 QTY524324 QKC524324 QAG524324 PQK524324 PGO524324 OWS524324 OMW524324 ODA524324 NTE524324 NJI524324 MZM524324 MPQ524324 MFU524324 LVY524324 LMC524324 LCG524324 KSK524324 KIO524324 JYS524324 JOW524324 JFA524324 IVE524324 ILI524324 IBM524324 HRQ524324 HHU524324 GXY524324 GOC524324 GEG524324 FUK524324 FKO524324 FAS524324 EQW524324 EHA524324 DXE524324 DNI524324 DDM524324 CTQ524324 CJU524324 BZY524324 BQC524324 BGG524324 AWK524324 AMO524324 ACS524324 SW524324 JA524324 E524324 WVM458788 WLQ458788 WBU458788 VRY458788 VIC458788 UYG458788 UOK458788 UEO458788 TUS458788 TKW458788 TBA458788 SRE458788 SHI458788 RXM458788 RNQ458788 RDU458788 QTY458788 QKC458788 QAG458788 PQK458788 PGO458788 OWS458788 OMW458788 ODA458788 NTE458788 NJI458788 MZM458788 MPQ458788 MFU458788 LVY458788 LMC458788 LCG458788 KSK458788 KIO458788 JYS458788 JOW458788 JFA458788 IVE458788 ILI458788 IBM458788 HRQ458788 HHU458788 GXY458788 GOC458788 GEG458788 FUK458788 FKO458788 FAS458788 EQW458788 EHA458788 DXE458788 DNI458788 DDM458788 CTQ458788 CJU458788 BZY458788 BQC458788 BGG458788 AWK458788 AMO458788 ACS458788 SW458788 JA458788 E458788 WVM393252 WLQ393252 WBU393252 VRY393252 VIC393252 UYG393252 UOK393252 UEO393252 TUS393252 TKW393252 TBA393252 SRE393252 SHI393252 RXM393252 RNQ393252 RDU393252 QTY393252 QKC393252 QAG393252 PQK393252 PGO393252 OWS393252 OMW393252 ODA393252 NTE393252 NJI393252 MZM393252 MPQ393252 MFU393252 LVY393252 LMC393252 LCG393252 KSK393252 KIO393252 JYS393252 JOW393252 JFA393252 IVE393252 ILI393252 IBM393252 HRQ393252 HHU393252 GXY393252 GOC393252 GEG393252 FUK393252 FKO393252 FAS393252 EQW393252 EHA393252 DXE393252 DNI393252 DDM393252 CTQ393252 CJU393252 BZY393252 BQC393252 BGG393252 AWK393252 AMO393252 ACS393252 SW393252 JA393252 E393252 WVM327716 WLQ327716 WBU327716 VRY327716 VIC327716 UYG327716 UOK327716 UEO327716 TUS327716 TKW327716 TBA327716 SRE327716 SHI327716 RXM327716 RNQ327716 RDU327716 QTY327716 QKC327716 QAG327716 PQK327716 PGO327716 OWS327716 OMW327716 ODA327716 NTE327716 NJI327716 MZM327716 MPQ327716 MFU327716 LVY327716 LMC327716 LCG327716 KSK327716 KIO327716 JYS327716 JOW327716 JFA327716 IVE327716 ILI327716 IBM327716 HRQ327716 HHU327716 GXY327716 GOC327716 GEG327716 FUK327716 FKO327716 FAS327716 EQW327716 EHA327716 DXE327716 DNI327716 DDM327716 CTQ327716 CJU327716 BZY327716 BQC327716 BGG327716 AWK327716 AMO327716 ACS327716 SW327716 JA327716 E327716 WVM262180 WLQ262180 WBU262180 VRY262180 VIC262180 UYG262180 UOK262180 UEO262180 TUS262180 TKW262180 TBA262180 SRE262180 SHI262180 RXM262180 RNQ262180 RDU262180 QTY262180 QKC262180 QAG262180 PQK262180 PGO262180 OWS262180 OMW262180 ODA262180 NTE262180 NJI262180 MZM262180 MPQ262180 MFU262180 LVY262180 LMC262180 LCG262180 KSK262180 KIO262180 JYS262180 JOW262180 JFA262180 IVE262180 ILI262180 IBM262180 HRQ262180 HHU262180 GXY262180 GOC262180 GEG262180 FUK262180 FKO262180 FAS262180 EQW262180 EHA262180 DXE262180 DNI262180 DDM262180 CTQ262180 CJU262180 BZY262180 BQC262180 BGG262180 AWK262180 AMO262180 ACS262180 SW262180 JA262180 E262180 WVM196644 WLQ196644 WBU196644 VRY196644 VIC196644 UYG196644 UOK196644 UEO196644 TUS196644 TKW196644 TBA196644 SRE196644 SHI196644 RXM196644 RNQ196644 RDU196644 QTY196644 QKC196644 QAG196644 PQK196644 PGO196644 OWS196644 OMW196644 ODA196644 NTE196644 NJI196644 MZM196644 MPQ196644 MFU196644 LVY196644 LMC196644 LCG196644 KSK196644 KIO196644 JYS196644 JOW196644 JFA196644 IVE196644 ILI196644 IBM196644 HRQ196644 HHU196644 GXY196644 GOC196644 GEG196644 FUK196644 FKO196644 FAS196644 EQW196644 EHA196644 DXE196644 DNI196644 DDM196644 CTQ196644 CJU196644 BZY196644 BQC196644 BGG196644 AWK196644 AMO196644 ACS196644 SW196644 JA196644 E196644 WVM131108 WLQ131108 WBU131108 VRY131108 VIC131108 UYG131108 UOK131108 UEO131108 TUS131108 TKW131108 TBA131108 SRE131108 SHI131108 RXM131108 RNQ131108 RDU131108 QTY131108 QKC131108 QAG131108 PQK131108 PGO131108 OWS131108 OMW131108 ODA131108 NTE131108 NJI131108 MZM131108 MPQ131108 MFU131108 LVY131108 LMC131108 LCG131108 KSK131108 KIO131108 JYS131108 JOW131108 JFA131108 IVE131108 ILI131108 IBM131108 HRQ131108 HHU131108 GXY131108 GOC131108 GEG131108 FUK131108 FKO131108 FAS131108 EQW131108 EHA131108 DXE131108 DNI131108 DDM131108 CTQ131108 CJU131108 BZY131108 BQC131108 BGG131108 AWK131108 AMO131108 ACS131108 SW131108 JA131108 E131108 WVM65572 WLQ65572 WBU65572 VRY65572 VIC65572 UYG65572 UOK65572 UEO65572 TUS65572 TKW65572 TBA65572 SRE65572 SHI65572 RXM65572 RNQ65572 RDU65572 QTY65572 QKC65572 QAG65572 PQK65572 PGO65572 OWS65572 OMW65572 ODA65572 NTE65572 NJI65572 MZM65572 MPQ65572 MFU65572 LVY65572 LMC65572 LCG65572 KSK65572 KIO65572 JYS65572 JOW65572 JFA65572 IVE65572 ILI65572 IBM65572 HRQ65572 HHU65572 GXY65572 GOC65572 GEG65572 FUK65572 FKO65572 FAS65572 EQW65572 EHA65572 DXE65572 DNI65572 DDM65572 CTQ65572 CJU65572 BZY65572 BQC65572 BGG65572 AWK65572 AMO65572 ACS65572 SW65572 JA65572 E65572 WVM36 WLQ36 WBU36 VRY36 VIC36 UYG36 UOK36 UEO36 TUS36 TKW36 TBA36 SRE36 SHI36 RXM36 RNQ36 RDU36 QTY36 QKC36 QAG36 PQK36 PGO36 OWS36 OMW36 ODA36 NTE36 NJI36 MZM36 MPQ36 MFU36 LVY36 LMC36 LCG36 KSK36 KIO36 JYS36 JOW36 JFA36 IVE36 ILI36 IBM36 HRQ36 HHU36 GXY36 GOC36 GEG36 FUK36 FKO36 FAS36 EQW36 EHA36 DXE36 DNI36 DDM36 CTQ36 CJU36 BZY36 BQC36 BGG36 AWK36 AMO36 ACS36 SW36 JA36" xr:uid="{00000000-0002-0000-0000-000003000000}">
      <formula1>$H$43:$H$45</formula1>
    </dataValidation>
    <dataValidation type="list" allowBlank="1" showInputMessage="1" showErrorMessage="1" sqref="E35 WVM983075 WLQ983075 WBU983075 VRY983075 VIC983075 UYG983075 UOK983075 UEO983075 TUS983075 TKW983075 TBA983075 SRE983075 SHI983075 RXM983075 RNQ983075 RDU983075 QTY983075 QKC983075 QAG983075 PQK983075 PGO983075 OWS983075 OMW983075 ODA983075 NTE983075 NJI983075 MZM983075 MPQ983075 MFU983075 LVY983075 LMC983075 LCG983075 KSK983075 KIO983075 JYS983075 JOW983075 JFA983075 IVE983075 ILI983075 IBM983075 HRQ983075 HHU983075 GXY983075 GOC983075 GEG983075 FUK983075 FKO983075 FAS983075 EQW983075 EHA983075 DXE983075 DNI983075 DDM983075 CTQ983075 CJU983075 BZY983075 BQC983075 BGG983075 AWK983075 AMO983075 ACS983075 SW983075 JA983075 E983075 WVM917539 WLQ917539 WBU917539 VRY917539 VIC917539 UYG917539 UOK917539 UEO917539 TUS917539 TKW917539 TBA917539 SRE917539 SHI917539 RXM917539 RNQ917539 RDU917539 QTY917539 QKC917539 QAG917539 PQK917539 PGO917539 OWS917539 OMW917539 ODA917539 NTE917539 NJI917539 MZM917539 MPQ917539 MFU917539 LVY917539 LMC917539 LCG917539 KSK917539 KIO917539 JYS917539 JOW917539 JFA917539 IVE917539 ILI917539 IBM917539 HRQ917539 HHU917539 GXY917539 GOC917539 GEG917539 FUK917539 FKO917539 FAS917539 EQW917539 EHA917539 DXE917539 DNI917539 DDM917539 CTQ917539 CJU917539 BZY917539 BQC917539 BGG917539 AWK917539 AMO917539 ACS917539 SW917539 JA917539 E917539 WVM852003 WLQ852003 WBU852003 VRY852003 VIC852003 UYG852003 UOK852003 UEO852003 TUS852003 TKW852003 TBA852003 SRE852003 SHI852003 RXM852003 RNQ852003 RDU852003 QTY852003 QKC852003 QAG852003 PQK852003 PGO852003 OWS852003 OMW852003 ODA852003 NTE852003 NJI852003 MZM852003 MPQ852003 MFU852003 LVY852003 LMC852003 LCG852003 KSK852003 KIO852003 JYS852003 JOW852003 JFA852003 IVE852003 ILI852003 IBM852003 HRQ852003 HHU852003 GXY852003 GOC852003 GEG852003 FUK852003 FKO852003 FAS852003 EQW852003 EHA852003 DXE852003 DNI852003 DDM852003 CTQ852003 CJU852003 BZY852003 BQC852003 BGG852003 AWK852003 AMO852003 ACS852003 SW852003 JA852003 E852003 WVM786467 WLQ786467 WBU786467 VRY786467 VIC786467 UYG786467 UOK786467 UEO786467 TUS786467 TKW786467 TBA786467 SRE786467 SHI786467 RXM786467 RNQ786467 RDU786467 QTY786467 QKC786467 QAG786467 PQK786467 PGO786467 OWS786467 OMW786467 ODA786467 NTE786467 NJI786467 MZM786467 MPQ786467 MFU786467 LVY786467 LMC786467 LCG786467 KSK786467 KIO786467 JYS786467 JOW786467 JFA786467 IVE786467 ILI786467 IBM786467 HRQ786467 HHU786467 GXY786467 GOC786467 GEG786467 FUK786467 FKO786467 FAS786467 EQW786467 EHA786467 DXE786467 DNI786467 DDM786467 CTQ786467 CJU786467 BZY786467 BQC786467 BGG786467 AWK786467 AMO786467 ACS786467 SW786467 JA786467 E786467 WVM720931 WLQ720931 WBU720931 VRY720931 VIC720931 UYG720931 UOK720931 UEO720931 TUS720931 TKW720931 TBA720931 SRE720931 SHI720931 RXM720931 RNQ720931 RDU720931 QTY720931 QKC720931 QAG720931 PQK720931 PGO720931 OWS720931 OMW720931 ODA720931 NTE720931 NJI720931 MZM720931 MPQ720931 MFU720931 LVY720931 LMC720931 LCG720931 KSK720931 KIO720931 JYS720931 JOW720931 JFA720931 IVE720931 ILI720931 IBM720931 HRQ720931 HHU720931 GXY720931 GOC720931 GEG720931 FUK720931 FKO720931 FAS720931 EQW720931 EHA720931 DXE720931 DNI720931 DDM720931 CTQ720931 CJU720931 BZY720931 BQC720931 BGG720931 AWK720931 AMO720931 ACS720931 SW720931 JA720931 E720931 WVM655395 WLQ655395 WBU655395 VRY655395 VIC655395 UYG655395 UOK655395 UEO655395 TUS655395 TKW655395 TBA655395 SRE655395 SHI655395 RXM655395 RNQ655395 RDU655395 QTY655395 QKC655395 QAG655395 PQK655395 PGO655395 OWS655395 OMW655395 ODA655395 NTE655395 NJI655395 MZM655395 MPQ655395 MFU655395 LVY655395 LMC655395 LCG655395 KSK655395 KIO655395 JYS655395 JOW655395 JFA655395 IVE655395 ILI655395 IBM655395 HRQ655395 HHU655395 GXY655395 GOC655395 GEG655395 FUK655395 FKO655395 FAS655395 EQW655395 EHA655395 DXE655395 DNI655395 DDM655395 CTQ655395 CJU655395 BZY655395 BQC655395 BGG655395 AWK655395 AMO655395 ACS655395 SW655395 JA655395 E655395 WVM589859 WLQ589859 WBU589859 VRY589859 VIC589859 UYG589859 UOK589859 UEO589859 TUS589859 TKW589859 TBA589859 SRE589859 SHI589859 RXM589859 RNQ589859 RDU589859 QTY589859 QKC589859 QAG589859 PQK589859 PGO589859 OWS589859 OMW589859 ODA589859 NTE589859 NJI589859 MZM589859 MPQ589859 MFU589859 LVY589859 LMC589859 LCG589859 KSK589859 KIO589859 JYS589859 JOW589859 JFA589859 IVE589859 ILI589859 IBM589859 HRQ589859 HHU589859 GXY589859 GOC589859 GEG589859 FUK589859 FKO589859 FAS589859 EQW589859 EHA589859 DXE589859 DNI589859 DDM589859 CTQ589859 CJU589859 BZY589859 BQC589859 BGG589859 AWK589859 AMO589859 ACS589859 SW589859 JA589859 E589859 WVM524323 WLQ524323 WBU524323 VRY524323 VIC524323 UYG524323 UOK524323 UEO524323 TUS524323 TKW524323 TBA524323 SRE524323 SHI524323 RXM524323 RNQ524323 RDU524323 QTY524323 QKC524323 QAG524323 PQK524323 PGO524323 OWS524323 OMW524323 ODA524323 NTE524323 NJI524323 MZM524323 MPQ524323 MFU524323 LVY524323 LMC524323 LCG524323 KSK524323 KIO524323 JYS524323 JOW524323 JFA524323 IVE524323 ILI524323 IBM524323 HRQ524323 HHU524323 GXY524323 GOC524323 GEG524323 FUK524323 FKO524323 FAS524323 EQW524323 EHA524323 DXE524323 DNI524323 DDM524323 CTQ524323 CJU524323 BZY524323 BQC524323 BGG524323 AWK524323 AMO524323 ACS524323 SW524323 JA524323 E524323 WVM458787 WLQ458787 WBU458787 VRY458787 VIC458787 UYG458787 UOK458787 UEO458787 TUS458787 TKW458787 TBA458787 SRE458787 SHI458787 RXM458787 RNQ458787 RDU458787 QTY458787 QKC458787 QAG458787 PQK458787 PGO458787 OWS458787 OMW458787 ODA458787 NTE458787 NJI458787 MZM458787 MPQ458787 MFU458787 LVY458787 LMC458787 LCG458787 KSK458787 KIO458787 JYS458787 JOW458787 JFA458787 IVE458787 ILI458787 IBM458787 HRQ458787 HHU458787 GXY458787 GOC458787 GEG458787 FUK458787 FKO458787 FAS458787 EQW458787 EHA458787 DXE458787 DNI458787 DDM458787 CTQ458787 CJU458787 BZY458787 BQC458787 BGG458787 AWK458787 AMO458787 ACS458787 SW458787 JA458787 E458787 WVM393251 WLQ393251 WBU393251 VRY393251 VIC393251 UYG393251 UOK393251 UEO393251 TUS393251 TKW393251 TBA393251 SRE393251 SHI393251 RXM393251 RNQ393251 RDU393251 QTY393251 QKC393251 QAG393251 PQK393251 PGO393251 OWS393251 OMW393251 ODA393251 NTE393251 NJI393251 MZM393251 MPQ393251 MFU393251 LVY393251 LMC393251 LCG393251 KSK393251 KIO393251 JYS393251 JOW393251 JFA393251 IVE393251 ILI393251 IBM393251 HRQ393251 HHU393251 GXY393251 GOC393251 GEG393251 FUK393251 FKO393251 FAS393251 EQW393251 EHA393251 DXE393251 DNI393251 DDM393251 CTQ393251 CJU393251 BZY393251 BQC393251 BGG393251 AWK393251 AMO393251 ACS393251 SW393251 JA393251 E393251 WVM327715 WLQ327715 WBU327715 VRY327715 VIC327715 UYG327715 UOK327715 UEO327715 TUS327715 TKW327715 TBA327715 SRE327715 SHI327715 RXM327715 RNQ327715 RDU327715 QTY327715 QKC327715 QAG327715 PQK327715 PGO327715 OWS327715 OMW327715 ODA327715 NTE327715 NJI327715 MZM327715 MPQ327715 MFU327715 LVY327715 LMC327715 LCG327715 KSK327715 KIO327715 JYS327715 JOW327715 JFA327715 IVE327715 ILI327715 IBM327715 HRQ327715 HHU327715 GXY327715 GOC327715 GEG327715 FUK327715 FKO327715 FAS327715 EQW327715 EHA327715 DXE327715 DNI327715 DDM327715 CTQ327715 CJU327715 BZY327715 BQC327715 BGG327715 AWK327715 AMO327715 ACS327715 SW327715 JA327715 E327715 WVM262179 WLQ262179 WBU262179 VRY262179 VIC262179 UYG262179 UOK262179 UEO262179 TUS262179 TKW262179 TBA262179 SRE262179 SHI262179 RXM262179 RNQ262179 RDU262179 QTY262179 QKC262179 QAG262179 PQK262179 PGO262179 OWS262179 OMW262179 ODA262179 NTE262179 NJI262179 MZM262179 MPQ262179 MFU262179 LVY262179 LMC262179 LCG262179 KSK262179 KIO262179 JYS262179 JOW262179 JFA262179 IVE262179 ILI262179 IBM262179 HRQ262179 HHU262179 GXY262179 GOC262179 GEG262179 FUK262179 FKO262179 FAS262179 EQW262179 EHA262179 DXE262179 DNI262179 DDM262179 CTQ262179 CJU262179 BZY262179 BQC262179 BGG262179 AWK262179 AMO262179 ACS262179 SW262179 JA262179 E262179 WVM196643 WLQ196643 WBU196643 VRY196643 VIC196643 UYG196643 UOK196643 UEO196643 TUS196643 TKW196643 TBA196643 SRE196643 SHI196643 RXM196643 RNQ196643 RDU196643 QTY196643 QKC196643 QAG196643 PQK196643 PGO196643 OWS196643 OMW196643 ODA196643 NTE196643 NJI196643 MZM196643 MPQ196643 MFU196643 LVY196643 LMC196643 LCG196643 KSK196643 KIO196643 JYS196643 JOW196643 JFA196643 IVE196643 ILI196643 IBM196643 HRQ196643 HHU196643 GXY196643 GOC196643 GEG196643 FUK196643 FKO196643 FAS196643 EQW196643 EHA196643 DXE196643 DNI196643 DDM196643 CTQ196643 CJU196643 BZY196643 BQC196643 BGG196643 AWK196643 AMO196643 ACS196643 SW196643 JA196643 E196643 WVM131107 WLQ131107 WBU131107 VRY131107 VIC131107 UYG131107 UOK131107 UEO131107 TUS131107 TKW131107 TBA131107 SRE131107 SHI131107 RXM131107 RNQ131107 RDU131107 QTY131107 QKC131107 QAG131107 PQK131107 PGO131107 OWS131107 OMW131107 ODA131107 NTE131107 NJI131107 MZM131107 MPQ131107 MFU131107 LVY131107 LMC131107 LCG131107 KSK131107 KIO131107 JYS131107 JOW131107 JFA131107 IVE131107 ILI131107 IBM131107 HRQ131107 HHU131107 GXY131107 GOC131107 GEG131107 FUK131107 FKO131107 FAS131107 EQW131107 EHA131107 DXE131107 DNI131107 DDM131107 CTQ131107 CJU131107 BZY131107 BQC131107 BGG131107 AWK131107 AMO131107 ACS131107 SW131107 JA131107 E131107 WVM65571 WLQ65571 WBU65571 VRY65571 VIC65571 UYG65571 UOK65571 UEO65571 TUS65571 TKW65571 TBA65571 SRE65571 SHI65571 RXM65571 RNQ65571 RDU65571 QTY65571 QKC65571 QAG65571 PQK65571 PGO65571 OWS65571 OMW65571 ODA65571 NTE65571 NJI65571 MZM65571 MPQ65571 MFU65571 LVY65571 LMC65571 LCG65571 KSK65571 KIO65571 JYS65571 JOW65571 JFA65571 IVE65571 ILI65571 IBM65571 HRQ65571 HHU65571 GXY65571 GOC65571 GEG65571 FUK65571 FKO65571 FAS65571 EQW65571 EHA65571 DXE65571 DNI65571 DDM65571 CTQ65571 CJU65571 BZY65571 BQC65571 BGG65571 AWK65571 AMO65571 ACS65571 SW65571 JA65571 E65571 WVM35 WLQ35 WBU35 VRY35 VIC35 UYG35 UOK35 UEO35 TUS35 TKW35 TBA35 SRE35 SHI35 RXM35 RNQ35 RDU35 QTY35 QKC35 QAG35 PQK35 PGO35 OWS35 OMW35 ODA35 NTE35 NJI35 MZM35 MPQ35 MFU35 LVY35 LMC35 LCG35 KSK35 KIO35 JYS35 JOW35 JFA35 IVE35 ILI35 IBM35 HRQ35 HHU35 GXY35 GOC35 GEG35 FUK35 FKO35 FAS35 EQW35 EHA35 DXE35 DNI35 DDM35 CTQ35 CJU35 BZY35 BQC35 BGG35 AWK35 AMO35 ACS35 SW35 JA35" xr:uid="{00000000-0002-0000-0000-000004000000}">
      <formula1>$G$43:$G$45</formula1>
    </dataValidation>
    <dataValidation type="list" allowBlank="1" showInputMessage="1" showErrorMessage="1" sqref="E34 WVM983074 WLQ983074 WBU983074 VRY983074 VIC983074 UYG983074 UOK983074 UEO983074 TUS983074 TKW983074 TBA983074 SRE983074 SHI983074 RXM983074 RNQ983074 RDU983074 QTY983074 QKC983074 QAG983074 PQK983074 PGO983074 OWS983074 OMW983074 ODA983074 NTE983074 NJI983074 MZM983074 MPQ983074 MFU983074 LVY983074 LMC983074 LCG983074 KSK983074 KIO983074 JYS983074 JOW983074 JFA983074 IVE983074 ILI983074 IBM983074 HRQ983074 HHU983074 GXY983074 GOC983074 GEG983074 FUK983074 FKO983074 FAS983074 EQW983074 EHA983074 DXE983074 DNI983074 DDM983074 CTQ983074 CJU983074 BZY983074 BQC983074 BGG983074 AWK983074 AMO983074 ACS983074 SW983074 JA983074 E983074 WVM917538 WLQ917538 WBU917538 VRY917538 VIC917538 UYG917538 UOK917538 UEO917538 TUS917538 TKW917538 TBA917538 SRE917538 SHI917538 RXM917538 RNQ917538 RDU917538 QTY917538 QKC917538 QAG917538 PQK917538 PGO917538 OWS917538 OMW917538 ODA917538 NTE917538 NJI917538 MZM917538 MPQ917538 MFU917538 LVY917538 LMC917538 LCG917538 KSK917538 KIO917538 JYS917538 JOW917538 JFA917538 IVE917538 ILI917538 IBM917538 HRQ917538 HHU917538 GXY917538 GOC917538 GEG917538 FUK917538 FKO917538 FAS917538 EQW917538 EHA917538 DXE917538 DNI917538 DDM917538 CTQ917538 CJU917538 BZY917538 BQC917538 BGG917538 AWK917538 AMO917538 ACS917538 SW917538 JA917538 E917538 WVM852002 WLQ852002 WBU852002 VRY852002 VIC852002 UYG852002 UOK852002 UEO852002 TUS852002 TKW852002 TBA852002 SRE852002 SHI852002 RXM852002 RNQ852002 RDU852002 QTY852002 QKC852002 QAG852002 PQK852002 PGO852002 OWS852002 OMW852002 ODA852002 NTE852002 NJI852002 MZM852002 MPQ852002 MFU852002 LVY852002 LMC852002 LCG852002 KSK852002 KIO852002 JYS852002 JOW852002 JFA852002 IVE852002 ILI852002 IBM852002 HRQ852002 HHU852002 GXY852002 GOC852002 GEG852002 FUK852002 FKO852002 FAS852002 EQW852002 EHA852002 DXE852002 DNI852002 DDM852002 CTQ852002 CJU852002 BZY852002 BQC852002 BGG852002 AWK852002 AMO852002 ACS852002 SW852002 JA852002 E852002 WVM786466 WLQ786466 WBU786466 VRY786466 VIC786466 UYG786466 UOK786466 UEO786466 TUS786466 TKW786466 TBA786466 SRE786466 SHI786466 RXM786466 RNQ786466 RDU786466 QTY786466 QKC786466 QAG786466 PQK786466 PGO786466 OWS786466 OMW786466 ODA786466 NTE786466 NJI786466 MZM786466 MPQ786466 MFU786466 LVY786466 LMC786466 LCG786466 KSK786466 KIO786466 JYS786466 JOW786466 JFA786466 IVE786466 ILI786466 IBM786466 HRQ786466 HHU786466 GXY786466 GOC786466 GEG786466 FUK786466 FKO786466 FAS786466 EQW786466 EHA786466 DXE786466 DNI786466 DDM786466 CTQ786466 CJU786466 BZY786466 BQC786466 BGG786466 AWK786466 AMO786466 ACS786466 SW786466 JA786466 E786466 WVM720930 WLQ720930 WBU720930 VRY720930 VIC720930 UYG720930 UOK720930 UEO720930 TUS720930 TKW720930 TBA720930 SRE720930 SHI720930 RXM720930 RNQ720930 RDU720930 QTY720930 QKC720930 QAG720930 PQK720930 PGO720930 OWS720930 OMW720930 ODA720930 NTE720930 NJI720930 MZM720930 MPQ720930 MFU720930 LVY720930 LMC720930 LCG720930 KSK720930 KIO720930 JYS720930 JOW720930 JFA720930 IVE720930 ILI720930 IBM720930 HRQ720930 HHU720930 GXY720930 GOC720930 GEG720930 FUK720930 FKO720930 FAS720930 EQW720930 EHA720930 DXE720930 DNI720930 DDM720930 CTQ720930 CJU720930 BZY720930 BQC720930 BGG720930 AWK720930 AMO720930 ACS720930 SW720930 JA720930 E720930 WVM655394 WLQ655394 WBU655394 VRY655394 VIC655394 UYG655394 UOK655394 UEO655394 TUS655394 TKW655394 TBA655394 SRE655394 SHI655394 RXM655394 RNQ655394 RDU655394 QTY655394 QKC655394 QAG655394 PQK655394 PGO655394 OWS655394 OMW655394 ODA655394 NTE655394 NJI655394 MZM655394 MPQ655394 MFU655394 LVY655394 LMC655394 LCG655394 KSK655394 KIO655394 JYS655394 JOW655394 JFA655394 IVE655394 ILI655394 IBM655394 HRQ655394 HHU655394 GXY655394 GOC655394 GEG655394 FUK655394 FKO655394 FAS655394 EQW655394 EHA655394 DXE655394 DNI655394 DDM655394 CTQ655394 CJU655394 BZY655394 BQC655394 BGG655394 AWK655394 AMO655394 ACS655394 SW655394 JA655394 E655394 WVM589858 WLQ589858 WBU589858 VRY589858 VIC589858 UYG589858 UOK589858 UEO589858 TUS589858 TKW589858 TBA589858 SRE589858 SHI589858 RXM589858 RNQ589858 RDU589858 QTY589858 QKC589858 QAG589858 PQK589858 PGO589858 OWS589858 OMW589858 ODA589858 NTE589858 NJI589858 MZM589858 MPQ589858 MFU589858 LVY589858 LMC589858 LCG589858 KSK589858 KIO589858 JYS589858 JOW589858 JFA589858 IVE589858 ILI589858 IBM589858 HRQ589858 HHU589858 GXY589858 GOC589858 GEG589858 FUK589858 FKO589858 FAS589858 EQW589858 EHA589858 DXE589858 DNI589858 DDM589858 CTQ589858 CJU589858 BZY589858 BQC589858 BGG589858 AWK589858 AMO589858 ACS589858 SW589858 JA589858 E589858 WVM524322 WLQ524322 WBU524322 VRY524322 VIC524322 UYG524322 UOK524322 UEO524322 TUS524322 TKW524322 TBA524322 SRE524322 SHI524322 RXM524322 RNQ524322 RDU524322 QTY524322 QKC524322 QAG524322 PQK524322 PGO524322 OWS524322 OMW524322 ODA524322 NTE524322 NJI524322 MZM524322 MPQ524322 MFU524322 LVY524322 LMC524322 LCG524322 KSK524322 KIO524322 JYS524322 JOW524322 JFA524322 IVE524322 ILI524322 IBM524322 HRQ524322 HHU524322 GXY524322 GOC524322 GEG524322 FUK524322 FKO524322 FAS524322 EQW524322 EHA524322 DXE524322 DNI524322 DDM524322 CTQ524322 CJU524322 BZY524322 BQC524322 BGG524322 AWK524322 AMO524322 ACS524322 SW524322 JA524322 E524322 WVM458786 WLQ458786 WBU458786 VRY458786 VIC458786 UYG458786 UOK458786 UEO458786 TUS458786 TKW458786 TBA458786 SRE458786 SHI458786 RXM458786 RNQ458786 RDU458786 QTY458786 QKC458786 QAG458786 PQK458786 PGO458786 OWS458786 OMW458786 ODA458786 NTE458786 NJI458786 MZM458786 MPQ458786 MFU458786 LVY458786 LMC458786 LCG458786 KSK458786 KIO458786 JYS458786 JOW458786 JFA458786 IVE458786 ILI458786 IBM458786 HRQ458786 HHU458786 GXY458786 GOC458786 GEG458786 FUK458786 FKO458786 FAS458786 EQW458786 EHA458786 DXE458786 DNI458786 DDM458786 CTQ458786 CJU458786 BZY458786 BQC458786 BGG458786 AWK458786 AMO458786 ACS458786 SW458786 JA458786 E458786 WVM393250 WLQ393250 WBU393250 VRY393250 VIC393250 UYG393250 UOK393250 UEO393250 TUS393250 TKW393250 TBA393250 SRE393250 SHI393250 RXM393250 RNQ393250 RDU393250 QTY393250 QKC393250 QAG393250 PQK393250 PGO393250 OWS393250 OMW393250 ODA393250 NTE393250 NJI393250 MZM393250 MPQ393250 MFU393250 LVY393250 LMC393250 LCG393250 KSK393250 KIO393250 JYS393250 JOW393250 JFA393250 IVE393250 ILI393250 IBM393250 HRQ393250 HHU393250 GXY393250 GOC393250 GEG393250 FUK393250 FKO393250 FAS393250 EQW393250 EHA393250 DXE393250 DNI393250 DDM393250 CTQ393250 CJU393250 BZY393250 BQC393250 BGG393250 AWK393250 AMO393250 ACS393250 SW393250 JA393250 E393250 WVM327714 WLQ327714 WBU327714 VRY327714 VIC327714 UYG327714 UOK327714 UEO327714 TUS327714 TKW327714 TBA327714 SRE327714 SHI327714 RXM327714 RNQ327714 RDU327714 QTY327714 QKC327714 QAG327714 PQK327714 PGO327714 OWS327714 OMW327714 ODA327714 NTE327714 NJI327714 MZM327714 MPQ327714 MFU327714 LVY327714 LMC327714 LCG327714 KSK327714 KIO327714 JYS327714 JOW327714 JFA327714 IVE327714 ILI327714 IBM327714 HRQ327714 HHU327714 GXY327714 GOC327714 GEG327714 FUK327714 FKO327714 FAS327714 EQW327714 EHA327714 DXE327714 DNI327714 DDM327714 CTQ327714 CJU327714 BZY327714 BQC327714 BGG327714 AWK327714 AMO327714 ACS327714 SW327714 JA327714 E327714 WVM262178 WLQ262178 WBU262178 VRY262178 VIC262178 UYG262178 UOK262178 UEO262178 TUS262178 TKW262178 TBA262178 SRE262178 SHI262178 RXM262178 RNQ262178 RDU262178 QTY262178 QKC262178 QAG262178 PQK262178 PGO262178 OWS262178 OMW262178 ODA262178 NTE262178 NJI262178 MZM262178 MPQ262178 MFU262178 LVY262178 LMC262178 LCG262178 KSK262178 KIO262178 JYS262178 JOW262178 JFA262178 IVE262178 ILI262178 IBM262178 HRQ262178 HHU262178 GXY262178 GOC262178 GEG262178 FUK262178 FKO262178 FAS262178 EQW262178 EHA262178 DXE262178 DNI262178 DDM262178 CTQ262178 CJU262178 BZY262178 BQC262178 BGG262178 AWK262178 AMO262178 ACS262178 SW262178 JA262178 E262178 WVM196642 WLQ196642 WBU196642 VRY196642 VIC196642 UYG196642 UOK196642 UEO196642 TUS196642 TKW196642 TBA196642 SRE196642 SHI196642 RXM196642 RNQ196642 RDU196642 QTY196642 QKC196642 QAG196642 PQK196642 PGO196642 OWS196642 OMW196642 ODA196642 NTE196642 NJI196642 MZM196642 MPQ196642 MFU196642 LVY196642 LMC196642 LCG196642 KSK196642 KIO196642 JYS196642 JOW196642 JFA196642 IVE196642 ILI196642 IBM196642 HRQ196642 HHU196642 GXY196642 GOC196642 GEG196642 FUK196642 FKO196642 FAS196642 EQW196642 EHA196642 DXE196642 DNI196642 DDM196642 CTQ196642 CJU196642 BZY196642 BQC196642 BGG196642 AWK196642 AMO196642 ACS196642 SW196642 JA196642 E196642 WVM131106 WLQ131106 WBU131106 VRY131106 VIC131106 UYG131106 UOK131106 UEO131106 TUS131106 TKW131106 TBA131106 SRE131106 SHI131106 RXM131106 RNQ131106 RDU131106 QTY131106 QKC131106 QAG131106 PQK131106 PGO131106 OWS131106 OMW131106 ODA131106 NTE131106 NJI131106 MZM131106 MPQ131106 MFU131106 LVY131106 LMC131106 LCG131106 KSK131106 KIO131106 JYS131106 JOW131106 JFA131106 IVE131106 ILI131106 IBM131106 HRQ131106 HHU131106 GXY131106 GOC131106 GEG131106 FUK131106 FKO131106 FAS131106 EQW131106 EHA131106 DXE131106 DNI131106 DDM131106 CTQ131106 CJU131106 BZY131106 BQC131106 BGG131106 AWK131106 AMO131106 ACS131106 SW131106 JA131106 E131106 WVM65570 WLQ65570 WBU65570 VRY65570 VIC65570 UYG65570 UOK65570 UEO65570 TUS65570 TKW65570 TBA65570 SRE65570 SHI65570 RXM65570 RNQ65570 RDU65570 QTY65570 QKC65570 QAG65570 PQK65570 PGO65570 OWS65570 OMW65570 ODA65570 NTE65570 NJI65570 MZM65570 MPQ65570 MFU65570 LVY65570 LMC65570 LCG65570 KSK65570 KIO65570 JYS65570 JOW65570 JFA65570 IVE65570 ILI65570 IBM65570 HRQ65570 HHU65570 GXY65570 GOC65570 GEG65570 FUK65570 FKO65570 FAS65570 EQW65570 EHA65570 DXE65570 DNI65570 DDM65570 CTQ65570 CJU65570 BZY65570 BQC65570 BGG65570 AWK65570 AMO65570 ACS65570 SW65570 JA65570 E65570 WVM34 WLQ34 WBU34 VRY34 VIC34 UYG34 UOK34 UEO34 TUS34 TKW34 TBA34 SRE34 SHI34 RXM34 RNQ34 RDU34 QTY34 QKC34 QAG34 PQK34 PGO34 OWS34 OMW34 ODA34 NTE34 NJI34 MZM34 MPQ34 MFU34 LVY34 LMC34 LCG34 KSK34 KIO34 JYS34 JOW34 JFA34 IVE34 ILI34 IBM34 HRQ34 HHU34 GXY34 GOC34 GEG34 FUK34 FKO34 FAS34 EQW34 EHA34 DXE34 DNI34 DDM34 CTQ34 CJU34 BZY34 BQC34 BGG34 AWK34 AMO34 ACS34 SW34 JA34" xr:uid="{00000000-0002-0000-0000-000005000000}">
      <formula1>$F$43:$F$45</formula1>
    </dataValidation>
    <dataValidation type="list" allowBlank="1" showInputMessage="1" showErrorMessage="1" sqref="E33 WVM983073 WLQ983073 WBU983073 VRY983073 VIC983073 UYG983073 UOK983073 UEO983073 TUS983073 TKW983073 TBA983073 SRE983073 SHI983073 RXM983073 RNQ983073 RDU983073 QTY983073 QKC983073 QAG983073 PQK983073 PGO983073 OWS983073 OMW983073 ODA983073 NTE983073 NJI983073 MZM983073 MPQ983073 MFU983073 LVY983073 LMC983073 LCG983073 KSK983073 KIO983073 JYS983073 JOW983073 JFA983073 IVE983073 ILI983073 IBM983073 HRQ983073 HHU983073 GXY983073 GOC983073 GEG983073 FUK983073 FKO983073 FAS983073 EQW983073 EHA983073 DXE983073 DNI983073 DDM983073 CTQ983073 CJU983073 BZY983073 BQC983073 BGG983073 AWK983073 AMO983073 ACS983073 SW983073 JA983073 E983073 WVM917537 WLQ917537 WBU917537 VRY917537 VIC917537 UYG917537 UOK917537 UEO917537 TUS917537 TKW917537 TBA917537 SRE917537 SHI917537 RXM917537 RNQ917537 RDU917537 QTY917537 QKC917537 QAG917537 PQK917537 PGO917537 OWS917537 OMW917537 ODA917537 NTE917537 NJI917537 MZM917537 MPQ917537 MFU917537 LVY917537 LMC917537 LCG917537 KSK917537 KIO917537 JYS917537 JOW917537 JFA917537 IVE917537 ILI917537 IBM917537 HRQ917537 HHU917537 GXY917537 GOC917537 GEG917537 FUK917537 FKO917537 FAS917537 EQW917537 EHA917537 DXE917537 DNI917537 DDM917537 CTQ917537 CJU917537 BZY917537 BQC917537 BGG917537 AWK917537 AMO917537 ACS917537 SW917537 JA917537 E917537 WVM852001 WLQ852001 WBU852001 VRY852001 VIC852001 UYG852001 UOK852001 UEO852001 TUS852001 TKW852001 TBA852001 SRE852001 SHI852001 RXM852001 RNQ852001 RDU852001 QTY852001 QKC852001 QAG852001 PQK852001 PGO852001 OWS852001 OMW852001 ODA852001 NTE852001 NJI852001 MZM852001 MPQ852001 MFU852001 LVY852001 LMC852001 LCG852001 KSK852001 KIO852001 JYS852001 JOW852001 JFA852001 IVE852001 ILI852001 IBM852001 HRQ852001 HHU852001 GXY852001 GOC852001 GEG852001 FUK852001 FKO852001 FAS852001 EQW852001 EHA852001 DXE852001 DNI852001 DDM852001 CTQ852001 CJU852001 BZY852001 BQC852001 BGG852001 AWK852001 AMO852001 ACS852001 SW852001 JA852001 E852001 WVM786465 WLQ786465 WBU786465 VRY786465 VIC786465 UYG786465 UOK786465 UEO786465 TUS786465 TKW786465 TBA786465 SRE786465 SHI786465 RXM786465 RNQ786465 RDU786465 QTY786465 QKC786465 QAG786465 PQK786465 PGO786465 OWS786465 OMW786465 ODA786465 NTE786465 NJI786465 MZM786465 MPQ786465 MFU786465 LVY786465 LMC786465 LCG786465 KSK786465 KIO786465 JYS786465 JOW786465 JFA786465 IVE786465 ILI786465 IBM786465 HRQ786465 HHU786465 GXY786465 GOC786465 GEG786465 FUK786465 FKO786465 FAS786465 EQW786465 EHA786465 DXE786465 DNI786465 DDM786465 CTQ786465 CJU786465 BZY786465 BQC786465 BGG786465 AWK786465 AMO786465 ACS786465 SW786465 JA786465 E786465 WVM720929 WLQ720929 WBU720929 VRY720929 VIC720929 UYG720929 UOK720929 UEO720929 TUS720929 TKW720929 TBA720929 SRE720929 SHI720929 RXM720929 RNQ720929 RDU720929 QTY720929 QKC720929 QAG720929 PQK720929 PGO720929 OWS720929 OMW720929 ODA720929 NTE720929 NJI720929 MZM720929 MPQ720929 MFU720929 LVY720929 LMC720929 LCG720929 KSK720929 KIO720929 JYS720929 JOW720929 JFA720929 IVE720929 ILI720929 IBM720929 HRQ720929 HHU720929 GXY720929 GOC720929 GEG720929 FUK720929 FKO720929 FAS720929 EQW720929 EHA720929 DXE720929 DNI720929 DDM720929 CTQ720929 CJU720929 BZY720929 BQC720929 BGG720929 AWK720929 AMO720929 ACS720929 SW720929 JA720929 E720929 WVM655393 WLQ655393 WBU655393 VRY655393 VIC655393 UYG655393 UOK655393 UEO655393 TUS655393 TKW655393 TBA655393 SRE655393 SHI655393 RXM655393 RNQ655393 RDU655393 QTY655393 QKC655393 QAG655393 PQK655393 PGO655393 OWS655393 OMW655393 ODA655393 NTE655393 NJI655393 MZM655393 MPQ655393 MFU655393 LVY655393 LMC655393 LCG655393 KSK655393 KIO655393 JYS655393 JOW655393 JFA655393 IVE655393 ILI655393 IBM655393 HRQ655393 HHU655393 GXY655393 GOC655393 GEG655393 FUK655393 FKO655393 FAS655393 EQW655393 EHA655393 DXE655393 DNI655393 DDM655393 CTQ655393 CJU655393 BZY655393 BQC655393 BGG655393 AWK655393 AMO655393 ACS655393 SW655393 JA655393 E655393 WVM589857 WLQ589857 WBU589857 VRY589857 VIC589857 UYG589857 UOK589857 UEO589857 TUS589857 TKW589857 TBA589857 SRE589857 SHI589857 RXM589857 RNQ589857 RDU589857 QTY589857 QKC589857 QAG589857 PQK589857 PGO589857 OWS589857 OMW589857 ODA589857 NTE589857 NJI589857 MZM589857 MPQ589857 MFU589857 LVY589857 LMC589857 LCG589857 KSK589857 KIO589857 JYS589857 JOW589857 JFA589857 IVE589857 ILI589857 IBM589857 HRQ589857 HHU589857 GXY589857 GOC589857 GEG589857 FUK589857 FKO589857 FAS589857 EQW589857 EHA589857 DXE589857 DNI589857 DDM589857 CTQ589857 CJU589857 BZY589857 BQC589857 BGG589857 AWK589857 AMO589857 ACS589857 SW589857 JA589857 E589857 WVM524321 WLQ524321 WBU524321 VRY524321 VIC524321 UYG524321 UOK524321 UEO524321 TUS524321 TKW524321 TBA524321 SRE524321 SHI524321 RXM524321 RNQ524321 RDU524321 QTY524321 QKC524321 QAG524321 PQK524321 PGO524321 OWS524321 OMW524321 ODA524321 NTE524321 NJI524321 MZM524321 MPQ524321 MFU524321 LVY524321 LMC524321 LCG524321 KSK524321 KIO524321 JYS524321 JOW524321 JFA524321 IVE524321 ILI524321 IBM524321 HRQ524321 HHU524321 GXY524321 GOC524321 GEG524321 FUK524321 FKO524321 FAS524321 EQW524321 EHA524321 DXE524321 DNI524321 DDM524321 CTQ524321 CJU524321 BZY524321 BQC524321 BGG524321 AWK524321 AMO524321 ACS524321 SW524321 JA524321 E524321 WVM458785 WLQ458785 WBU458785 VRY458785 VIC458785 UYG458785 UOK458785 UEO458785 TUS458785 TKW458785 TBA458785 SRE458785 SHI458785 RXM458785 RNQ458785 RDU458785 QTY458785 QKC458785 QAG458785 PQK458785 PGO458785 OWS458785 OMW458785 ODA458785 NTE458785 NJI458785 MZM458785 MPQ458785 MFU458785 LVY458785 LMC458785 LCG458785 KSK458785 KIO458785 JYS458785 JOW458785 JFA458785 IVE458785 ILI458785 IBM458785 HRQ458785 HHU458785 GXY458785 GOC458785 GEG458785 FUK458785 FKO458785 FAS458785 EQW458785 EHA458785 DXE458785 DNI458785 DDM458785 CTQ458785 CJU458785 BZY458785 BQC458785 BGG458785 AWK458785 AMO458785 ACS458785 SW458785 JA458785 E458785 WVM393249 WLQ393249 WBU393249 VRY393249 VIC393249 UYG393249 UOK393249 UEO393249 TUS393249 TKW393249 TBA393249 SRE393249 SHI393249 RXM393249 RNQ393249 RDU393249 QTY393249 QKC393249 QAG393249 PQK393249 PGO393249 OWS393249 OMW393249 ODA393249 NTE393249 NJI393249 MZM393249 MPQ393249 MFU393249 LVY393249 LMC393249 LCG393249 KSK393249 KIO393249 JYS393249 JOW393249 JFA393249 IVE393249 ILI393249 IBM393249 HRQ393249 HHU393249 GXY393249 GOC393249 GEG393249 FUK393249 FKO393249 FAS393249 EQW393249 EHA393249 DXE393249 DNI393249 DDM393249 CTQ393249 CJU393249 BZY393249 BQC393249 BGG393249 AWK393249 AMO393249 ACS393249 SW393249 JA393249 E393249 WVM327713 WLQ327713 WBU327713 VRY327713 VIC327713 UYG327713 UOK327713 UEO327713 TUS327713 TKW327713 TBA327713 SRE327713 SHI327713 RXM327713 RNQ327713 RDU327713 QTY327713 QKC327713 QAG327713 PQK327713 PGO327713 OWS327713 OMW327713 ODA327713 NTE327713 NJI327713 MZM327713 MPQ327713 MFU327713 LVY327713 LMC327713 LCG327713 KSK327713 KIO327713 JYS327713 JOW327713 JFA327713 IVE327713 ILI327713 IBM327713 HRQ327713 HHU327713 GXY327713 GOC327713 GEG327713 FUK327713 FKO327713 FAS327713 EQW327713 EHA327713 DXE327713 DNI327713 DDM327713 CTQ327713 CJU327713 BZY327713 BQC327713 BGG327713 AWK327713 AMO327713 ACS327713 SW327713 JA327713 E327713 WVM262177 WLQ262177 WBU262177 VRY262177 VIC262177 UYG262177 UOK262177 UEO262177 TUS262177 TKW262177 TBA262177 SRE262177 SHI262177 RXM262177 RNQ262177 RDU262177 QTY262177 QKC262177 QAG262177 PQK262177 PGO262177 OWS262177 OMW262177 ODA262177 NTE262177 NJI262177 MZM262177 MPQ262177 MFU262177 LVY262177 LMC262177 LCG262177 KSK262177 KIO262177 JYS262177 JOW262177 JFA262177 IVE262177 ILI262177 IBM262177 HRQ262177 HHU262177 GXY262177 GOC262177 GEG262177 FUK262177 FKO262177 FAS262177 EQW262177 EHA262177 DXE262177 DNI262177 DDM262177 CTQ262177 CJU262177 BZY262177 BQC262177 BGG262177 AWK262177 AMO262177 ACS262177 SW262177 JA262177 E262177 WVM196641 WLQ196641 WBU196641 VRY196641 VIC196641 UYG196641 UOK196641 UEO196641 TUS196641 TKW196641 TBA196641 SRE196641 SHI196641 RXM196641 RNQ196641 RDU196641 QTY196641 QKC196641 QAG196641 PQK196641 PGO196641 OWS196641 OMW196641 ODA196641 NTE196641 NJI196641 MZM196641 MPQ196641 MFU196641 LVY196641 LMC196641 LCG196641 KSK196641 KIO196641 JYS196641 JOW196641 JFA196641 IVE196641 ILI196641 IBM196641 HRQ196641 HHU196641 GXY196641 GOC196641 GEG196641 FUK196641 FKO196641 FAS196641 EQW196641 EHA196641 DXE196641 DNI196641 DDM196641 CTQ196641 CJU196641 BZY196641 BQC196641 BGG196641 AWK196641 AMO196641 ACS196641 SW196641 JA196641 E196641 WVM131105 WLQ131105 WBU131105 VRY131105 VIC131105 UYG131105 UOK131105 UEO131105 TUS131105 TKW131105 TBA131105 SRE131105 SHI131105 RXM131105 RNQ131105 RDU131105 QTY131105 QKC131105 QAG131105 PQK131105 PGO131105 OWS131105 OMW131105 ODA131105 NTE131105 NJI131105 MZM131105 MPQ131105 MFU131105 LVY131105 LMC131105 LCG131105 KSK131105 KIO131105 JYS131105 JOW131105 JFA131105 IVE131105 ILI131105 IBM131105 HRQ131105 HHU131105 GXY131105 GOC131105 GEG131105 FUK131105 FKO131105 FAS131105 EQW131105 EHA131105 DXE131105 DNI131105 DDM131105 CTQ131105 CJU131105 BZY131105 BQC131105 BGG131105 AWK131105 AMO131105 ACS131105 SW131105 JA131105 E131105 WVM65569 WLQ65569 WBU65569 VRY65569 VIC65569 UYG65569 UOK65569 UEO65569 TUS65569 TKW65569 TBA65569 SRE65569 SHI65569 RXM65569 RNQ65569 RDU65569 QTY65569 QKC65569 QAG65569 PQK65569 PGO65569 OWS65569 OMW65569 ODA65569 NTE65569 NJI65569 MZM65569 MPQ65569 MFU65569 LVY65569 LMC65569 LCG65569 KSK65569 KIO65569 JYS65569 JOW65569 JFA65569 IVE65569 ILI65569 IBM65569 HRQ65569 HHU65569 GXY65569 GOC65569 GEG65569 FUK65569 FKO65569 FAS65569 EQW65569 EHA65569 DXE65569 DNI65569 DDM65569 CTQ65569 CJU65569 BZY65569 BQC65569 BGG65569 AWK65569 AMO65569 ACS65569 SW65569 JA65569 E65569 WVM33 WLQ33 WBU33 VRY33 VIC33 UYG33 UOK33 UEO33 TUS33 TKW33 TBA33 SRE33 SHI33 RXM33 RNQ33 RDU33 QTY33 QKC33 QAG33 PQK33 PGO33 OWS33 OMW33 ODA33 NTE33 NJI33 MZM33 MPQ33 MFU33 LVY33 LMC33 LCG33 KSK33 KIO33 JYS33 JOW33 JFA33 IVE33 ILI33 IBM33 HRQ33 HHU33 GXY33 GOC33 GEG33 FUK33 FKO33 FAS33 EQW33 EHA33 DXE33 DNI33 DDM33 CTQ33 CJU33 BZY33 BQC33 BGG33 AWK33 AMO33 ACS33 SW33 JA33" xr:uid="{00000000-0002-0000-0000-000006000000}">
      <formula1>$E$43:$E$45</formula1>
    </dataValidation>
    <dataValidation type="list" allowBlank="1" showInputMessage="1" showErrorMessage="1" sqref="E32 WVM983072 WLQ983072 WBU983072 VRY983072 VIC983072 UYG983072 UOK983072 UEO983072 TUS983072 TKW983072 TBA983072 SRE983072 SHI983072 RXM983072 RNQ983072 RDU983072 QTY983072 QKC983072 QAG983072 PQK983072 PGO983072 OWS983072 OMW983072 ODA983072 NTE983072 NJI983072 MZM983072 MPQ983072 MFU983072 LVY983072 LMC983072 LCG983072 KSK983072 KIO983072 JYS983072 JOW983072 JFA983072 IVE983072 ILI983072 IBM983072 HRQ983072 HHU983072 GXY983072 GOC983072 GEG983072 FUK983072 FKO983072 FAS983072 EQW983072 EHA983072 DXE983072 DNI983072 DDM983072 CTQ983072 CJU983072 BZY983072 BQC983072 BGG983072 AWK983072 AMO983072 ACS983072 SW983072 JA983072 E983072 WVM917536 WLQ917536 WBU917536 VRY917536 VIC917536 UYG917536 UOK917536 UEO917536 TUS917536 TKW917536 TBA917536 SRE917536 SHI917536 RXM917536 RNQ917536 RDU917536 QTY917536 QKC917536 QAG917536 PQK917536 PGO917536 OWS917536 OMW917536 ODA917536 NTE917536 NJI917536 MZM917536 MPQ917536 MFU917536 LVY917536 LMC917536 LCG917536 KSK917536 KIO917536 JYS917536 JOW917536 JFA917536 IVE917536 ILI917536 IBM917536 HRQ917536 HHU917536 GXY917536 GOC917536 GEG917536 FUK917536 FKO917536 FAS917536 EQW917536 EHA917536 DXE917536 DNI917536 DDM917536 CTQ917536 CJU917536 BZY917536 BQC917536 BGG917536 AWK917536 AMO917536 ACS917536 SW917536 JA917536 E917536 WVM852000 WLQ852000 WBU852000 VRY852000 VIC852000 UYG852000 UOK852000 UEO852000 TUS852000 TKW852000 TBA852000 SRE852000 SHI852000 RXM852000 RNQ852000 RDU852000 QTY852000 QKC852000 QAG852000 PQK852000 PGO852000 OWS852000 OMW852000 ODA852000 NTE852000 NJI852000 MZM852000 MPQ852000 MFU852000 LVY852000 LMC852000 LCG852000 KSK852000 KIO852000 JYS852000 JOW852000 JFA852000 IVE852000 ILI852000 IBM852000 HRQ852000 HHU852000 GXY852000 GOC852000 GEG852000 FUK852000 FKO852000 FAS852000 EQW852000 EHA852000 DXE852000 DNI852000 DDM852000 CTQ852000 CJU852000 BZY852000 BQC852000 BGG852000 AWK852000 AMO852000 ACS852000 SW852000 JA852000 E852000 WVM786464 WLQ786464 WBU786464 VRY786464 VIC786464 UYG786464 UOK786464 UEO786464 TUS786464 TKW786464 TBA786464 SRE786464 SHI786464 RXM786464 RNQ786464 RDU786464 QTY786464 QKC786464 QAG786464 PQK786464 PGO786464 OWS786464 OMW786464 ODA786464 NTE786464 NJI786464 MZM786464 MPQ786464 MFU786464 LVY786464 LMC786464 LCG786464 KSK786464 KIO786464 JYS786464 JOW786464 JFA786464 IVE786464 ILI786464 IBM786464 HRQ786464 HHU786464 GXY786464 GOC786464 GEG786464 FUK786464 FKO786464 FAS786464 EQW786464 EHA786464 DXE786464 DNI786464 DDM786464 CTQ786464 CJU786464 BZY786464 BQC786464 BGG786464 AWK786464 AMO786464 ACS786464 SW786464 JA786464 E786464 WVM720928 WLQ720928 WBU720928 VRY720928 VIC720928 UYG720928 UOK720928 UEO720928 TUS720928 TKW720928 TBA720928 SRE720928 SHI720928 RXM720928 RNQ720928 RDU720928 QTY720928 QKC720928 QAG720928 PQK720928 PGO720928 OWS720928 OMW720928 ODA720928 NTE720928 NJI720928 MZM720928 MPQ720928 MFU720928 LVY720928 LMC720928 LCG720928 KSK720928 KIO720928 JYS720928 JOW720928 JFA720928 IVE720928 ILI720928 IBM720928 HRQ720928 HHU720928 GXY720928 GOC720928 GEG720928 FUK720928 FKO720928 FAS720928 EQW720928 EHA720928 DXE720928 DNI720928 DDM720928 CTQ720928 CJU720928 BZY720928 BQC720928 BGG720928 AWK720928 AMO720928 ACS720928 SW720928 JA720928 E720928 WVM655392 WLQ655392 WBU655392 VRY655392 VIC655392 UYG655392 UOK655392 UEO655392 TUS655392 TKW655392 TBA655392 SRE655392 SHI655392 RXM655392 RNQ655392 RDU655392 QTY655392 QKC655392 QAG655392 PQK655392 PGO655392 OWS655392 OMW655392 ODA655392 NTE655392 NJI655392 MZM655392 MPQ655392 MFU655392 LVY655392 LMC655392 LCG655392 KSK655392 KIO655392 JYS655392 JOW655392 JFA655392 IVE655392 ILI655392 IBM655392 HRQ655392 HHU655392 GXY655392 GOC655392 GEG655392 FUK655392 FKO655392 FAS655392 EQW655392 EHA655392 DXE655392 DNI655392 DDM655392 CTQ655392 CJU655392 BZY655392 BQC655392 BGG655392 AWK655392 AMO655392 ACS655392 SW655392 JA655392 E655392 WVM589856 WLQ589856 WBU589856 VRY589856 VIC589856 UYG589856 UOK589856 UEO589856 TUS589856 TKW589856 TBA589856 SRE589856 SHI589856 RXM589856 RNQ589856 RDU589856 QTY589856 QKC589856 QAG589856 PQK589856 PGO589856 OWS589856 OMW589856 ODA589856 NTE589856 NJI589856 MZM589856 MPQ589856 MFU589856 LVY589856 LMC589856 LCG589856 KSK589856 KIO589856 JYS589856 JOW589856 JFA589856 IVE589856 ILI589856 IBM589856 HRQ589856 HHU589856 GXY589856 GOC589856 GEG589856 FUK589856 FKO589856 FAS589856 EQW589856 EHA589856 DXE589856 DNI589856 DDM589856 CTQ589856 CJU589856 BZY589856 BQC589856 BGG589856 AWK589856 AMO589856 ACS589856 SW589856 JA589856 E589856 WVM524320 WLQ524320 WBU524320 VRY524320 VIC524320 UYG524320 UOK524320 UEO524320 TUS524320 TKW524320 TBA524320 SRE524320 SHI524320 RXM524320 RNQ524320 RDU524320 QTY524320 QKC524320 QAG524320 PQK524320 PGO524320 OWS524320 OMW524320 ODA524320 NTE524320 NJI524320 MZM524320 MPQ524320 MFU524320 LVY524320 LMC524320 LCG524320 KSK524320 KIO524320 JYS524320 JOW524320 JFA524320 IVE524320 ILI524320 IBM524320 HRQ524320 HHU524320 GXY524320 GOC524320 GEG524320 FUK524320 FKO524320 FAS524320 EQW524320 EHA524320 DXE524320 DNI524320 DDM524320 CTQ524320 CJU524320 BZY524320 BQC524320 BGG524320 AWK524320 AMO524320 ACS524320 SW524320 JA524320 E524320 WVM458784 WLQ458784 WBU458784 VRY458784 VIC458784 UYG458784 UOK458784 UEO458784 TUS458784 TKW458784 TBA458784 SRE458784 SHI458784 RXM458784 RNQ458784 RDU458784 QTY458784 QKC458784 QAG458784 PQK458784 PGO458784 OWS458784 OMW458784 ODA458784 NTE458784 NJI458784 MZM458784 MPQ458784 MFU458784 LVY458784 LMC458784 LCG458784 KSK458784 KIO458784 JYS458784 JOW458784 JFA458784 IVE458784 ILI458784 IBM458784 HRQ458784 HHU458784 GXY458784 GOC458784 GEG458784 FUK458784 FKO458784 FAS458784 EQW458784 EHA458784 DXE458784 DNI458784 DDM458784 CTQ458784 CJU458784 BZY458784 BQC458784 BGG458784 AWK458784 AMO458784 ACS458784 SW458784 JA458784 E458784 WVM393248 WLQ393248 WBU393248 VRY393248 VIC393248 UYG393248 UOK393248 UEO393248 TUS393248 TKW393248 TBA393248 SRE393248 SHI393248 RXM393248 RNQ393248 RDU393248 QTY393248 QKC393248 QAG393248 PQK393248 PGO393248 OWS393248 OMW393248 ODA393248 NTE393248 NJI393248 MZM393248 MPQ393248 MFU393248 LVY393248 LMC393248 LCG393248 KSK393248 KIO393248 JYS393248 JOW393248 JFA393248 IVE393248 ILI393248 IBM393248 HRQ393248 HHU393248 GXY393248 GOC393248 GEG393248 FUK393248 FKO393248 FAS393248 EQW393248 EHA393248 DXE393248 DNI393248 DDM393248 CTQ393248 CJU393248 BZY393248 BQC393248 BGG393248 AWK393248 AMO393248 ACS393248 SW393248 JA393248 E393248 WVM327712 WLQ327712 WBU327712 VRY327712 VIC327712 UYG327712 UOK327712 UEO327712 TUS327712 TKW327712 TBA327712 SRE327712 SHI327712 RXM327712 RNQ327712 RDU327712 QTY327712 QKC327712 QAG327712 PQK327712 PGO327712 OWS327712 OMW327712 ODA327712 NTE327712 NJI327712 MZM327712 MPQ327712 MFU327712 LVY327712 LMC327712 LCG327712 KSK327712 KIO327712 JYS327712 JOW327712 JFA327712 IVE327712 ILI327712 IBM327712 HRQ327712 HHU327712 GXY327712 GOC327712 GEG327712 FUK327712 FKO327712 FAS327712 EQW327712 EHA327712 DXE327712 DNI327712 DDM327712 CTQ327712 CJU327712 BZY327712 BQC327712 BGG327712 AWK327712 AMO327712 ACS327712 SW327712 JA327712 E327712 WVM262176 WLQ262176 WBU262176 VRY262176 VIC262176 UYG262176 UOK262176 UEO262176 TUS262176 TKW262176 TBA262176 SRE262176 SHI262176 RXM262176 RNQ262176 RDU262176 QTY262176 QKC262176 QAG262176 PQK262176 PGO262176 OWS262176 OMW262176 ODA262176 NTE262176 NJI262176 MZM262176 MPQ262176 MFU262176 LVY262176 LMC262176 LCG262176 KSK262176 KIO262176 JYS262176 JOW262176 JFA262176 IVE262176 ILI262176 IBM262176 HRQ262176 HHU262176 GXY262176 GOC262176 GEG262176 FUK262176 FKO262176 FAS262176 EQW262176 EHA262176 DXE262176 DNI262176 DDM262176 CTQ262176 CJU262176 BZY262176 BQC262176 BGG262176 AWK262176 AMO262176 ACS262176 SW262176 JA262176 E262176 WVM196640 WLQ196640 WBU196640 VRY196640 VIC196640 UYG196640 UOK196640 UEO196640 TUS196640 TKW196640 TBA196640 SRE196640 SHI196640 RXM196640 RNQ196640 RDU196640 QTY196640 QKC196640 QAG196640 PQK196640 PGO196640 OWS196640 OMW196640 ODA196640 NTE196640 NJI196640 MZM196640 MPQ196640 MFU196640 LVY196640 LMC196640 LCG196640 KSK196640 KIO196640 JYS196640 JOW196640 JFA196640 IVE196640 ILI196640 IBM196640 HRQ196640 HHU196640 GXY196640 GOC196640 GEG196640 FUK196640 FKO196640 FAS196640 EQW196640 EHA196640 DXE196640 DNI196640 DDM196640 CTQ196640 CJU196640 BZY196640 BQC196640 BGG196640 AWK196640 AMO196640 ACS196640 SW196640 JA196640 E196640 WVM131104 WLQ131104 WBU131104 VRY131104 VIC131104 UYG131104 UOK131104 UEO131104 TUS131104 TKW131104 TBA131104 SRE131104 SHI131104 RXM131104 RNQ131104 RDU131104 QTY131104 QKC131104 QAG131104 PQK131104 PGO131104 OWS131104 OMW131104 ODA131104 NTE131104 NJI131104 MZM131104 MPQ131104 MFU131104 LVY131104 LMC131104 LCG131104 KSK131104 KIO131104 JYS131104 JOW131104 JFA131104 IVE131104 ILI131104 IBM131104 HRQ131104 HHU131104 GXY131104 GOC131104 GEG131104 FUK131104 FKO131104 FAS131104 EQW131104 EHA131104 DXE131104 DNI131104 DDM131104 CTQ131104 CJU131104 BZY131104 BQC131104 BGG131104 AWK131104 AMO131104 ACS131104 SW131104 JA131104 E131104 WVM65568 WLQ65568 WBU65568 VRY65568 VIC65568 UYG65568 UOK65568 UEO65568 TUS65568 TKW65568 TBA65568 SRE65568 SHI65568 RXM65568 RNQ65568 RDU65568 QTY65568 QKC65568 QAG65568 PQK65568 PGO65568 OWS65568 OMW65568 ODA65568 NTE65568 NJI65568 MZM65568 MPQ65568 MFU65568 LVY65568 LMC65568 LCG65568 KSK65568 KIO65568 JYS65568 JOW65568 JFA65568 IVE65568 ILI65568 IBM65568 HRQ65568 HHU65568 GXY65568 GOC65568 GEG65568 FUK65568 FKO65568 FAS65568 EQW65568 EHA65568 DXE65568 DNI65568 DDM65568 CTQ65568 CJU65568 BZY65568 BQC65568 BGG65568 AWK65568 AMO65568 ACS65568 SW65568 JA65568 E65568 WVM32 WLQ32 WBU32 VRY32 VIC32 UYG32 UOK32 UEO32 TUS32 TKW32 TBA32 SRE32 SHI32 RXM32 RNQ32 RDU32 QTY32 QKC32 QAG32 PQK32 PGO32 OWS32 OMW32 ODA32 NTE32 NJI32 MZM32 MPQ32 MFU32 LVY32 LMC32 LCG32 KSK32 KIO32 JYS32 JOW32 JFA32 IVE32 ILI32 IBM32 HRQ32 HHU32 GXY32 GOC32 GEG32 FUK32 FKO32 FAS32 EQW32 EHA32 DXE32 DNI32 DDM32 CTQ32 CJU32 BZY32 BQC32 BGG32 AWK32 AMO32 ACS32 SW32 JA32" xr:uid="{00000000-0002-0000-0000-000007000000}">
      <formula1>$D$43:$D$45</formula1>
    </dataValidation>
    <dataValidation type="list" allowBlank="1" showInputMessage="1" showErrorMessage="1" sqref="REI983065 JO25 TK25 ADG25 ANC25 AWY25 BGU25 BQQ25 CAM25 CKI25 CUE25 DEA25 DNW25 DXS25 EHO25 ERK25 FBG25 FLC25 FUY25 GEU25 GOQ25 GYM25 HII25 HSE25 ICA25 ILW25 IVS25 JFO25 JPK25 JZG25 KJC25 KSY25 LCU25 LMQ25 LWM25 MGI25 MQE25 NAA25 NJW25 NTS25 ODO25 ONK25 OXG25 PHC25 PQY25 QAU25 QKQ25 QUM25 REI25 ROE25 RYA25 SHW25 SRS25 TBO25 TLK25 TVG25 UFC25 UOY25 UYU25 VIQ25 VSM25 WCI25 WME25 WWA25 ROE983065 JO65561 TK65561 ADG65561 ANC65561 AWY65561 BGU65561 BQQ65561 CAM65561 CKI65561 CUE65561 DEA65561 DNW65561 DXS65561 EHO65561 ERK65561 FBG65561 FLC65561 FUY65561 GEU65561 GOQ65561 GYM65561 HII65561 HSE65561 ICA65561 ILW65561 IVS65561 JFO65561 JPK65561 JZG65561 KJC65561 KSY65561 LCU65561 LMQ65561 LWM65561 MGI65561 MQE65561 NAA65561 NJW65561 NTS65561 ODO65561 ONK65561 OXG65561 PHC65561 PQY65561 QAU65561 QKQ65561 QUM65561 REI65561 ROE65561 RYA65561 SHW65561 SRS65561 TBO65561 TLK65561 TVG65561 UFC65561 UOY65561 UYU65561 VIQ65561 VSM65561 WCI65561 WME65561 WWA65561 RYA983065 JO131097 TK131097 ADG131097 ANC131097 AWY131097 BGU131097 BQQ131097 CAM131097 CKI131097 CUE131097 DEA131097 DNW131097 DXS131097 EHO131097 ERK131097 FBG131097 FLC131097 FUY131097 GEU131097 GOQ131097 GYM131097 HII131097 HSE131097 ICA131097 ILW131097 IVS131097 JFO131097 JPK131097 JZG131097 KJC131097 KSY131097 LCU131097 LMQ131097 LWM131097 MGI131097 MQE131097 NAA131097 NJW131097 NTS131097 ODO131097 ONK131097 OXG131097 PHC131097 PQY131097 QAU131097 QKQ131097 QUM131097 REI131097 ROE131097 RYA131097 SHW131097 SRS131097 TBO131097 TLK131097 TVG131097 UFC131097 UOY131097 UYU131097 VIQ131097 VSM131097 WCI131097 WME131097 WWA131097 SHW983065 JO196633 TK196633 ADG196633 ANC196633 AWY196633 BGU196633 BQQ196633 CAM196633 CKI196633 CUE196633 DEA196633 DNW196633 DXS196633 EHO196633 ERK196633 FBG196633 FLC196633 FUY196633 GEU196633 GOQ196633 GYM196633 HII196633 HSE196633 ICA196633 ILW196633 IVS196633 JFO196633 JPK196633 JZG196633 KJC196633 KSY196633 LCU196633 LMQ196633 LWM196633 MGI196633 MQE196633 NAA196633 NJW196633 NTS196633 ODO196633 ONK196633 OXG196633 PHC196633 PQY196633 QAU196633 QKQ196633 QUM196633 REI196633 ROE196633 RYA196633 SHW196633 SRS196633 TBO196633 TLK196633 TVG196633 UFC196633 UOY196633 UYU196633 VIQ196633 VSM196633 WCI196633 WME196633 WWA196633 SRS983065 JO262169 TK262169 ADG262169 ANC262169 AWY262169 BGU262169 BQQ262169 CAM262169 CKI262169 CUE262169 DEA262169 DNW262169 DXS262169 EHO262169 ERK262169 FBG262169 FLC262169 FUY262169 GEU262169 GOQ262169 GYM262169 HII262169 HSE262169 ICA262169 ILW262169 IVS262169 JFO262169 JPK262169 JZG262169 KJC262169 KSY262169 LCU262169 LMQ262169 LWM262169 MGI262169 MQE262169 NAA262169 NJW262169 NTS262169 ODO262169 ONK262169 OXG262169 PHC262169 PQY262169 QAU262169 QKQ262169 QUM262169 REI262169 ROE262169 RYA262169 SHW262169 SRS262169 TBO262169 TLK262169 TVG262169 UFC262169 UOY262169 UYU262169 VIQ262169 VSM262169 WCI262169 WME262169 WWA262169 TBO983065 JO327705 TK327705 ADG327705 ANC327705 AWY327705 BGU327705 BQQ327705 CAM327705 CKI327705 CUE327705 DEA327705 DNW327705 DXS327705 EHO327705 ERK327705 FBG327705 FLC327705 FUY327705 GEU327705 GOQ327705 GYM327705 HII327705 HSE327705 ICA327705 ILW327705 IVS327705 JFO327705 JPK327705 JZG327705 KJC327705 KSY327705 LCU327705 LMQ327705 LWM327705 MGI327705 MQE327705 NAA327705 NJW327705 NTS327705 ODO327705 ONK327705 OXG327705 PHC327705 PQY327705 QAU327705 QKQ327705 QUM327705 REI327705 ROE327705 RYA327705 SHW327705 SRS327705 TBO327705 TLK327705 TVG327705 UFC327705 UOY327705 UYU327705 VIQ327705 VSM327705 WCI327705 WME327705 WWA327705 TLK983065 JO393241 TK393241 ADG393241 ANC393241 AWY393241 BGU393241 BQQ393241 CAM393241 CKI393241 CUE393241 DEA393241 DNW393241 DXS393241 EHO393241 ERK393241 FBG393241 FLC393241 FUY393241 GEU393241 GOQ393241 GYM393241 HII393241 HSE393241 ICA393241 ILW393241 IVS393241 JFO393241 JPK393241 JZG393241 KJC393241 KSY393241 LCU393241 LMQ393241 LWM393241 MGI393241 MQE393241 NAA393241 NJW393241 NTS393241 ODO393241 ONK393241 OXG393241 PHC393241 PQY393241 QAU393241 QKQ393241 QUM393241 REI393241 ROE393241 RYA393241 SHW393241 SRS393241 TBO393241 TLK393241 TVG393241 UFC393241 UOY393241 UYU393241 VIQ393241 VSM393241 WCI393241 WME393241 WWA393241 TVG983065 JO458777 TK458777 ADG458777 ANC458777 AWY458777 BGU458777 BQQ458777 CAM458777 CKI458777 CUE458777 DEA458777 DNW458777 DXS458777 EHO458777 ERK458777 FBG458777 FLC458777 FUY458777 GEU458777 GOQ458777 GYM458777 HII458777 HSE458777 ICA458777 ILW458777 IVS458777 JFO458777 JPK458777 JZG458777 KJC458777 KSY458777 LCU458777 LMQ458777 LWM458777 MGI458777 MQE458777 NAA458777 NJW458777 NTS458777 ODO458777 ONK458777 OXG458777 PHC458777 PQY458777 QAU458777 QKQ458777 QUM458777 REI458777 ROE458777 RYA458777 SHW458777 SRS458777 TBO458777 TLK458777 TVG458777 UFC458777 UOY458777 UYU458777 VIQ458777 VSM458777 WCI458777 WME458777 WWA458777 UFC983065 JO524313 TK524313 ADG524313 ANC524313 AWY524313 BGU524313 BQQ524313 CAM524313 CKI524313 CUE524313 DEA524313 DNW524313 DXS524313 EHO524313 ERK524313 FBG524313 FLC524313 FUY524313 GEU524313 GOQ524313 GYM524313 HII524313 HSE524313 ICA524313 ILW524313 IVS524313 JFO524313 JPK524313 JZG524313 KJC524313 KSY524313 LCU524313 LMQ524313 LWM524313 MGI524313 MQE524313 NAA524313 NJW524313 NTS524313 ODO524313 ONK524313 OXG524313 PHC524313 PQY524313 QAU524313 QKQ524313 QUM524313 REI524313 ROE524313 RYA524313 SHW524313 SRS524313 TBO524313 TLK524313 TVG524313 UFC524313 UOY524313 UYU524313 VIQ524313 VSM524313 WCI524313 WME524313 WWA524313 UOY983065 JO589849 TK589849 ADG589849 ANC589849 AWY589849 BGU589849 BQQ589849 CAM589849 CKI589849 CUE589849 DEA589849 DNW589849 DXS589849 EHO589849 ERK589849 FBG589849 FLC589849 FUY589849 GEU589849 GOQ589849 GYM589849 HII589849 HSE589849 ICA589849 ILW589849 IVS589849 JFO589849 JPK589849 JZG589849 KJC589849 KSY589849 LCU589849 LMQ589849 LWM589849 MGI589849 MQE589849 NAA589849 NJW589849 NTS589849 ODO589849 ONK589849 OXG589849 PHC589849 PQY589849 QAU589849 QKQ589849 QUM589849 REI589849 ROE589849 RYA589849 SHW589849 SRS589849 TBO589849 TLK589849 TVG589849 UFC589849 UOY589849 UYU589849 VIQ589849 VSM589849 WCI589849 WME589849 WWA589849 UYU983065 JO655385 TK655385 ADG655385 ANC655385 AWY655385 BGU655385 BQQ655385 CAM655385 CKI655385 CUE655385 DEA655385 DNW655385 DXS655385 EHO655385 ERK655385 FBG655385 FLC655385 FUY655385 GEU655385 GOQ655385 GYM655385 HII655385 HSE655385 ICA655385 ILW655385 IVS655385 JFO655385 JPK655385 JZG655385 KJC655385 KSY655385 LCU655385 LMQ655385 LWM655385 MGI655385 MQE655385 NAA655385 NJW655385 NTS655385 ODO655385 ONK655385 OXG655385 PHC655385 PQY655385 QAU655385 QKQ655385 QUM655385 REI655385 ROE655385 RYA655385 SHW655385 SRS655385 TBO655385 TLK655385 TVG655385 UFC655385 UOY655385 UYU655385 VIQ655385 VSM655385 WCI655385 WME655385 WWA655385 VIQ983065 JO720921 TK720921 ADG720921 ANC720921 AWY720921 BGU720921 BQQ720921 CAM720921 CKI720921 CUE720921 DEA720921 DNW720921 DXS720921 EHO720921 ERK720921 FBG720921 FLC720921 FUY720921 GEU720921 GOQ720921 GYM720921 HII720921 HSE720921 ICA720921 ILW720921 IVS720921 JFO720921 JPK720921 JZG720921 KJC720921 KSY720921 LCU720921 LMQ720921 LWM720921 MGI720921 MQE720921 NAA720921 NJW720921 NTS720921 ODO720921 ONK720921 OXG720921 PHC720921 PQY720921 QAU720921 QKQ720921 QUM720921 REI720921 ROE720921 RYA720921 SHW720921 SRS720921 TBO720921 TLK720921 TVG720921 UFC720921 UOY720921 UYU720921 VIQ720921 VSM720921 WCI720921 WME720921 WWA720921 VSM983065 JO786457 TK786457 ADG786457 ANC786457 AWY786457 BGU786457 BQQ786457 CAM786457 CKI786457 CUE786457 DEA786457 DNW786457 DXS786457 EHO786457 ERK786457 FBG786457 FLC786457 FUY786457 GEU786457 GOQ786457 GYM786457 HII786457 HSE786457 ICA786457 ILW786457 IVS786457 JFO786457 JPK786457 JZG786457 KJC786457 KSY786457 LCU786457 LMQ786457 LWM786457 MGI786457 MQE786457 NAA786457 NJW786457 NTS786457 ODO786457 ONK786457 OXG786457 PHC786457 PQY786457 QAU786457 QKQ786457 QUM786457 REI786457 ROE786457 RYA786457 SHW786457 SRS786457 TBO786457 TLK786457 TVG786457 UFC786457 UOY786457 UYU786457 VIQ786457 VSM786457 WCI786457 WME786457 WWA786457 WCI983065 JO851993 TK851993 ADG851993 ANC851993 AWY851993 BGU851993 BQQ851993 CAM851993 CKI851993 CUE851993 DEA851993 DNW851993 DXS851993 EHO851993 ERK851993 FBG851993 FLC851993 FUY851993 GEU851993 GOQ851993 GYM851993 HII851993 HSE851993 ICA851993 ILW851993 IVS851993 JFO851993 JPK851993 JZG851993 KJC851993 KSY851993 LCU851993 LMQ851993 LWM851993 MGI851993 MQE851993 NAA851993 NJW851993 NTS851993 ODO851993 ONK851993 OXG851993 PHC851993 PQY851993 QAU851993 QKQ851993 QUM851993 REI851993 ROE851993 RYA851993 SHW851993 SRS851993 TBO851993 TLK851993 TVG851993 UFC851993 UOY851993 UYU851993 VIQ851993 VSM851993 WCI851993 WME851993 WWA851993 WME983065 JO917529 TK917529 ADG917529 ANC917529 AWY917529 BGU917529 BQQ917529 CAM917529 CKI917529 CUE917529 DEA917529 DNW917529 DXS917529 EHO917529 ERK917529 FBG917529 FLC917529 FUY917529 GEU917529 GOQ917529 GYM917529 HII917529 HSE917529 ICA917529 ILW917529 IVS917529 JFO917529 JPK917529 JZG917529 KJC917529 KSY917529 LCU917529 LMQ917529 LWM917529 MGI917529 MQE917529 NAA917529 NJW917529 NTS917529 ODO917529 ONK917529 OXG917529 PHC917529 PQY917529 QAU917529 QKQ917529 QUM917529 REI917529 ROE917529 RYA917529 SHW917529 SRS917529 TBO917529 TLK917529 TVG917529 UFC917529 UOY917529 UYU917529 VIQ917529 VSM917529 WCI917529 WME917529 WWA917529 WWA983065 JO983065 TK983065 ADG983065 ANC983065 AWY983065 BGU983065 BQQ983065 CAM983065 CKI983065 CUE983065 DEA983065 DNW983065 DXS983065 EHO983065 ERK983065 FBG983065 FLC983065 FUY983065 GEU983065 GOQ983065 GYM983065 HII983065 HSE983065 ICA983065 ILW983065 IVS983065 JFO983065 JPK983065 JZG983065 KJC983065 KSY983065 LCU983065 LMQ983065 LWM983065 MGI983065 MQE983065 NAA983065 NJW983065 NTS983065 ODO983065 ONK983065 OXG983065 PHC983065 PQY983065 QAU983065 QKQ983065 QUM983065 S25 S65561 S131097 S196633 S262169 S327705 S393241 S458777 S524313 S589849 S655385 S720921 S786457 S851993 S917529 S983065" xr:uid="{00000000-0002-0000-0000-000008000000}">
      <formula1>S$24:S$24</formula1>
    </dataValidation>
    <dataValidation type="list" allowBlank="1" showInputMessage="1" showErrorMessage="1" sqref="E10" xr:uid="{1D1F5CFE-A5ED-4C5A-B2CE-AEEF05C52326}">
      <formula1>$W$22:$W$23</formula1>
    </dataValidation>
  </dataValidations>
  <pageMargins left="0.75" right="0.75" top="1" bottom="1" header="0.5" footer="0.5"/>
  <pageSetup paperSize="9" scale="52" orientation="portrait" r:id="rId1"/>
  <headerFooter alignWithMargins="0"/>
  <colBreaks count="1" manualBreakCount="1">
    <brk id="18"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F9F442-C403-4BF9-A803-7E426258261B}">
  <dimension ref="A1:D95"/>
  <sheetViews>
    <sheetView workbookViewId="0">
      <selection activeCell="C2" sqref="C2"/>
    </sheetView>
  </sheetViews>
  <sheetFormatPr defaultRowHeight="14.5" x14ac:dyDescent="0.35"/>
  <cols>
    <col min="4" max="4" width="12.54296875" bestFit="1" customWidth="1"/>
  </cols>
  <sheetData>
    <row r="1" spans="1:4" x14ac:dyDescent="0.35">
      <c r="A1" t="s">
        <v>60</v>
      </c>
      <c r="B1" t="s">
        <v>61</v>
      </c>
      <c r="C1" t="s">
        <v>60</v>
      </c>
      <c r="D1" t="s">
        <v>213</v>
      </c>
    </row>
    <row r="2" spans="1:4" x14ac:dyDescent="0.35">
      <c r="A2">
        <v>93</v>
      </c>
      <c r="B2" t="str">
        <f>Data!A3</f>
        <v>9986</v>
      </c>
      <c r="C2">
        <f>A2</f>
        <v>93</v>
      </c>
      <c r="D2">
        <v>1</v>
      </c>
    </row>
    <row r="3" spans="1:4" x14ac:dyDescent="0.35">
      <c r="A3">
        <v>92</v>
      </c>
      <c r="B3" t="str">
        <f>Data!A4</f>
        <v>Ad</v>
      </c>
      <c r="C3">
        <f t="shared" ref="C3:C66" si="0">A3</f>
        <v>92</v>
      </c>
      <c r="D3">
        <v>2</v>
      </c>
    </row>
    <row r="4" spans="1:4" x14ac:dyDescent="0.35">
      <c r="A4">
        <v>91</v>
      </c>
      <c r="B4" t="str">
        <f>Data!A5</f>
        <v>Adel Messih</v>
      </c>
      <c r="C4">
        <f t="shared" si="0"/>
        <v>91</v>
      </c>
      <c r="D4">
        <v>3</v>
      </c>
    </row>
    <row r="5" spans="1:4" x14ac:dyDescent="0.35">
      <c r="A5">
        <v>90</v>
      </c>
      <c r="B5" t="str">
        <f>Data!A6</f>
        <v>Admireel</v>
      </c>
      <c r="C5">
        <f t="shared" si="0"/>
        <v>90</v>
      </c>
      <c r="D5">
        <v>4</v>
      </c>
    </row>
    <row r="6" spans="1:4" x14ac:dyDescent="0.35">
      <c r="A6">
        <v>89</v>
      </c>
      <c r="B6" t="str">
        <f>Data!A7</f>
        <v>Bart Simpson</v>
      </c>
      <c r="C6">
        <f t="shared" si="0"/>
        <v>89</v>
      </c>
      <c r="D6">
        <v>5</v>
      </c>
    </row>
    <row r="7" spans="1:4" x14ac:dyDescent="0.35">
      <c r="A7">
        <v>88</v>
      </c>
      <c r="B7" t="str">
        <f>Data!A8</f>
        <v>Big Baba</v>
      </c>
      <c r="C7">
        <f t="shared" si="0"/>
        <v>88</v>
      </c>
      <c r="D7">
        <v>6</v>
      </c>
    </row>
    <row r="8" spans="1:4" x14ac:dyDescent="0.35">
      <c r="A8">
        <v>87</v>
      </c>
      <c r="B8" t="str">
        <f>Data!A9</f>
        <v>Big Moose</v>
      </c>
      <c r="C8">
        <f t="shared" si="0"/>
        <v>87</v>
      </c>
      <c r="D8">
        <v>7</v>
      </c>
    </row>
    <row r="9" spans="1:4" x14ac:dyDescent="0.35">
      <c r="A9">
        <v>86</v>
      </c>
      <c r="B9" t="str">
        <f>Data!A10</f>
        <v>BillyB</v>
      </c>
      <c r="C9">
        <f t="shared" si="0"/>
        <v>86</v>
      </c>
      <c r="D9">
        <v>8</v>
      </c>
    </row>
    <row r="10" spans="1:4" x14ac:dyDescent="0.35">
      <c r="A10">
        <v>85</v>
      </c>
      <c r="B10" t="str">
        <f>Data!A11</f>
        <v>blakey94</v>
      </c>
      <c r="C10">
        <f t="shared" si="0"/>
        <v>85</v>
      </c>
      <c r="D10">
        <v>9</v>
      </c>
    </row>
    <row r="11" spans="1:4" x14ac:dyDescent="0.35">
      <c r="A11">
        <v>84</v>
      </c>
      <c r="B11" t="str">
        <f>Data!A12</f>
        <v>Bridie</v>
      </c>
      <c r="C11">
        <f t="shared" si="0"/>
        <v>84</v>
      </c>
      <c r="D11">
        <v>10</v>
      </c>
    </row>
    <row r="12" spans="1:4" x14ac:dyDescent="0.35">
      <c r="A12">
        <v>83</v>
      </c>
      <c r="B12" t="str">
        <f>Data!A13</f>
        <v>Budgie</v>
      </c>
      <c r="C12">
        <f t="shared" si="0"/>
        <v>83</v>
      </c>
      <c r="D12">
        <v>11</v>
      </c>
    </row>
    <row r="13" spans="1:4" x14ac:dyDescent="0.35">
      <c r="A13">
        <v>82</v>
      </c>
      <c r="B13" t="str">
        <f>Data!A14</f>
        <v>Carlos</v>
      </c>
      <c r="C13">
        <f t="shared" si="0"/>
        <v>82</v>
      </c>
      <c r="D13">
        <v>12</v>
      </c>
    </row>
    <row r="14" spans="1:4" x14ac:dyDescent="0.35">
      <c r="A14">
        <v>81</v>
      </c>
      <c r="B14" t="str">
        <f>Data!A15</f>
        <v>Chunka</v>
      </c>
      <c r="C14">
        <f t="shared" si="0"/>
        <v>81</v>
      </c>
      <c r="D14">
        <v>13</v>
      </c>
    </row>
    <row r="15" spans="1:4" x14ac:dyDescent="0.35">
      <c r="A15">
        <v>80</v>
      </c>
      <c r="B15" t="str">
        <f>Data!A16</f>
        <v>Craig Young's Love Child</v>
      </c>
      <c r="C15">
        <f t="shared" si="0"/>
        <v>80</v>
      </c>
      <c r="D15">
        <v>14</v>
      </c>
    </row>
    <row r="16" spans="1:4" x14ac:dyDescent="0.35">
      <c r="A16">
        <v>79</v>
      </c>
      <c r="B16" t="str">
        <f>Data!A17</f>
        <v>Cruella</v>
      </c>
      <c r="C16">
        <f t="shared" si="0"/>
        <v>79</v>
      </c>
      <c r="D16">
        <v>15</v>
      </c>
    </row>
    <row r="17" spans="1:4" x14ac:dyDescent="0.35">
      <c r="A17">
        <v>78</v>
      </c>
      <c r="B17" t="str">
        <f>Data!A18</f>
        <v>Fouad Khochaiche</v>
      </c>
      <c r="C17">
        <f t="shared" si="0"/>
        <v>78</v>
      </c>
      <c r="D17">
        <v>16</v>
      </c>
    </row>
    <row r="18" spans="1:4" x14ac:dyDescent="0.35">
      <c r="A18">
        <v>77</v>
      </c>
      <c r="B18" t="str">
        <f>Data!A19</f>
        <v>gdadisho</v>
      </c>
      <c r="C18">
        <f t="shared" si="0"/>
        <v>77</v>
      </c>
      <c r="D18">
        <v>17</v>
      </c>
    </row>
    <row r="19" spans="1:4" x14ac:dyDescent="0.35">
      <c r="A19">
        <v>76</v>
      </c>
      <c r="B19" t="str">
        <f>Data!A20</f>
        <v>GeorgeTheDragon</v>
      </c>
      <c r="C19">
        <f t="shared" si="0"/>
        <v>76</v>
      </c>
      <c r="D19">
        <v>18</v>
      </c>
    </row>
    <row r="20" spans="1:4" x14ac:dyDescent="0.35">
      <c r="A20">
        <v>75</v>
      </c>
      <c r="B20" t="str">
        <f>Data!A21</f>
        <v>Guru2810</v>
      </c>
      <c r="C20">
        <f t="shared" si="0"/>
        <v>75</v>
      </c>
      <c r="D20">
        <v>19</v>
      </c>
    </row>
    <row r="21" spans="1:4" x14ac:dyDescent="0.35">
      <c r="A21">
        <v>74</v>
      </c>
      <c r="B21" t="str">
        <f>Data!A22</f>
        <v>I miss Benji</v>
      </c>
      <c r="C21">
        <f t="shared" si="0"/>
        <v>74</v>
      </c>
      <c r="D21">
        <v>20</v>
      </c>
    </row>
    <row r="22" spans="1:4" x14ac:dyDescent="0.35">
      <c r="A22">
        <v>73</v>
      </c>
      <c r="B22" t="str">
        <f>Data!A23</f>
        <v>isha68</v>
      </c>
      <c r="C22">
        <f t="shared" si="0"/>
        <v>73</v>
      </c>
      <c r="D22">
        <v>21</v>
      </c>
    </row>
    <row r="23" spans="1:4" x14ac:dyDescent="0.35">
      <c r="A23">
        <v>72</v>
      </c>
      <c r="B23" t="str">
        <f>Data!A24</f>
        <v>iTerry</v>
      </c>
      <c r="C23">
        <f t="shared" si="0"/>
        <v>72</v>
      </c>
      <c r="D23">
        <v>22</v>
      </c>
    </row>
    <row r="24" spans="1:4" x14ac:dyDescent="0.35">
      <c r="A24">
        <v>71</v>
      </c>
      <c r="B24" t="str">
        <f>Data!A25</f>
        <v>Krusty</v>
      </c>
      <c r="C24">
        <f t="shared" si="0"/>
        <v>71</v>
      </c>
      <c r="D24">
        <v>23</v>
      </c>
    </row>
    <row r="25" spans="1:4" x14ac:dyDescent="0.35">
      <c r="A25">
        <v>70</v>
      </c>
      <c r="B25" t="str">
        <f>Data!A26</f>
        <v>Lou</v>
      </c>
      <c r="C25">
        <f t="shared" si="0"/>
        <v>70</v>
      </c>
      <c r="D25">
        <v>24</v>
      </c>
    </row>
    <row r="26" spans="1:4" x14ac:dyDescent="0.35">
      <c r="A26">
        <v>69</v>
      </c>
      <c r="B26" t="str">
        <f>Data!A27</f>
        <v>Lukebrooksbiggestfan</v>
      </c>
      <c r="C26">
        <f t="shared" si="0"/>
        <v>69</v>
      </c>
      <c r="D26">
        <v>25</v>
      </c>
    </row>
    <row r="27" spans="1:4" x14ac:dyDescent="0.35">
      <c r="A27">
        <v>68</v>
      </c>
      <c r="B27" t="str">
        <f>Data!A28</f>
        <v>Magnum</v>
      </c>
      <c r="C27">
        <f t="shared" si="0"/>
        <v>68</v>
      </c>
      <c r="D27">
        <v>26</v>
      </c>
    </row>
    <row r="28" spans="1:4" x14ac:dyDescent="0.35">
      <c r="A28">
        <v>67</v>
      </c>
      <c r="B28" t="str">
        <f>Data!A29</f>
        <v>Matt Brownie</v>
      </c>
      <c r="C28">
        <f t="shared" si="0"/>
        <v>67</v>
      </c>
      <c r="D28">
        <v>27</v>
      </c>
    </row>
    <row r="29" spans="1:4" x14ac:dyDescent="0.35">
      <c r="A29">
        <v>66</v>
      </c>
      <c r="B29" t="str">
        <f>Data!A30</f>
        <v>MB</v>
      </c>
      <c r="C29">
        <f t="shared" si="0"/>
        <v>66</v>
      </c>
      <c r="D29">
        <v>28</v>
      </c>
    </row>
    <row r="30" spans="1:4" x14ac:dyDescent="0.35">
      <c r="A30">
        <v>65</v>
      </c>
      <c r="B30" t="str">
        <f>Data!A31</f>
        <v>Michael Wu</v>
      </c>
      <c r="C30">
        <f t="shared" si="0"/>
        <v>65</v>
      </c>
      <c r="D30">
        <v>29</v>
      </c>
    </row>
    <row r="31" spans="1:4" x14ac:dyDescent="0.35">
      <c r="A31">
        <v>64</v>
      </c>
      <c r="B31" t="str">
        <f>Data!A32</f>
        <v>Micrider</v>
      </c>
      <c r="C31">
        <f t="shared" si="0"/>
        <v>64</v>
      </c>
      <c r="D31">
        <v>30</v>
      </c>
    </row>
    <row r="32" spans="1:4" x14ac:dyDescent="0.35">
      <c r="A32">
        <v>63</v>
      </c>
      <c r="B32" t="str">
        <f>Data!A33</f>
        <v>MJP181</v>
      </c>
      <c r="C32">
        <f t="shared" si="0"/>
        <v>63</v>
      </c>
      <c r="D32">
        <v>31</v>
      </c>
    </row>
    <row r="33" spans="1:4" x14ac:dyDescent="0.35">
      <c r="A33">
        <v>62</v>
      </c>
      <c r="B33" t="str">
        <f>Data!A34</f>
        <v>MLC</v>
      </c>
      <c r="C33">
        <f t="shared" si="0"/>
        <v>62</v>
      </c>
      <c r="D33">
        <v>32</v>
      </c>
    </row>
    <row r="34" spans="1:4" x14ac:dyDescent="0.35">
      <c r="A34">
        <v>61</v>
      </c>
      <c r="B34" t="str">
        <f>Data!A35</f>
        <v>MR. TAYLOR</v>
      </c>
      <c r="C34">
        <f t="shared" si="0"/>
        <v>61</v>
      </c>
      <c r="D34">
        <v>33</v>
      </c>
    </row>
    <row r="35" spans="1:4" x14ac:dyDescent="0.35">
      <c r="A35">
        <v>60</v>
      </c>
      <c r="B35" t="str">
        <f>Data!A36</f>
        <v>murch</v>
      </c>
      <c r="C35">
        <f t="shared" si="0"/>
        <v>60</v>
      </c>
      <c r="D35">
        <v>34</v>
      </c>
    </row>
    <row r="36" spans="1:4" x14ac:dyDescent="0.35">
      <c r="A36">
        <v>59</v>
      </c>
      <c r="B36" t="str">
        <f>Data!A37</f>
        <v>Neville</v>
      </c>
      <c r="C36">
        <f t="shared" si="0"/>
        <v>59</v>
      </c>
      <c r="D36">
        <v>35</v>
      </c>
    </row>
    <row r="37" spans="1:4" x14ac:dyDescent="0.35">
      <c r="A37">
        <v>58</v>
      </c>
      <c r="B37" t="str">
        <f>Data!A38</f>
        <v>NotLast</v>
      </c>
      <c r="C37">
        <f t="shared" si="0"/>
        <v>58</v>
      </c>
      <c r="D37">
        <v>36</v>
      </c>
    </row>
    <row r="38" spans="1:4" x14ac:dyDescent="0.35">
      <c r="A38">
        <v>57</v>
      </c>
      <c r="B38" t="str">
        <f>Data!A39</f>
        <v>Pablo</v>
      </c>
      <c r="C38">
        <f t="shared" si="0"/>
        <v>57</v>
      </c>
      <c r="D38">
        <v>37</v>
      </c>
    </row>
    <row r="39" spans="1:4" x14ac:dyDescent="0.35">
      <c r="A39">
        <v>56</v>
      </c>
      <c r="B39" t="str">
        <f>Data!A40</f>
        <v>Panthers29</v>
      </c>
      <c r="C39">
        <f t="shared" si="0"/>
        <v>56</v>
      </c>
      <c r="D39">
        <v>38</v>
      </c>
    </row>
    <row r="40" spans="1:4" x14ac:dyDescent="0.35">
      <c r="A40">
        <v>55</v>
      </c>
      <c r="B40" t="str">
        <f>Data!A41</f>
        <v>Robert Cook</v>
      </c>
      <c r="C40">
        <f t="shared" si="0"/>
        <v>55</v>
      </c>
      <c r="D40">
        <v>39</v>
      </c>
    </row>
    <row r="41" spans="1:4" x14ac:dyDescent="0.35">
      <c r="A41">
        <v>54</v>
      </c>
      <c r="B41" t="str">
        <f>Data!A42</f>
        <v>Rossco the Pom</v>
      </c>
      <c r="C41">
        <f t="shared" si="0"/>
        <v>54</v>
      </c>
      <c r="D41">
        <v>40</v>
      </c>
    </row>
    <row r="42" spans="1:4" x14ac:dyDescent="0.35">
      <c r="A42">
        <v>53</v>
      </c>
      <c r="B42" t="str">
        <f>Data!A43</f>
        <v>Runner</v>
      </c>
      <c r="C42">
        <f t="shared" si="0"/>
        <v>53</v>
      </c>
      <c r="D42">
        <v>41</v>
      </c>
    </row>
    <row r="43" spans="1:4" x14ac:dyDescent="0.35">
      <c r="A43">
        <v>52</v>
      </c>
      <c r="B43" t="str">
        <f>Data!A44</f>
        <v>Seano</v>
      </c>
      <c r="C43">
        <f t="shared" si="0"/>
        <v>52</v>
      </c>
      <c r="D43">
        <v>42</v>
      </c>
    </row>
    <row r="44" spans="1:4" x14ac:dyDescent="0.35">
      <c r="A44">
        <v>51</v>
      </c>
      <c r="B44" t="str">
        <f>Data!A45</f>
        <v>Shagger</v>
      </c>
      <c r="C44">
        <f t="shared" si="0"/>
        <v>51</v>
      </c>
      <c r="D44">
        <v>43</v>
      </c>
    </row>
    <row r="45" spans="1:4" x14ac:dyDescent="0.35">
      <c r="A45">
        <v>50</v>
      </c>
      <c r="B45" t="str">
        <f>Data!A46</f>
        <v>SMOG</v>
      </c>
      <c r="C45">
        <f t="shared" si="0"/>
        <v>50</v>
      </c>
      <c r="D45">
        <v>44</v>
      </c>
    </row>
    <row r="46" spans="1:4" x14ac:dyDescent="0.35">
      <c r="A46">
        <v>49</v>
      </c>
      <c r="B46" t="str">
        <f>Data!A47</f>
        <v>Splinter</v>
      </c>
      <c r="C46">
        <f t="shared" si="0"/>
        <v>49</v>
      </c>
      <c r="D46">
        <v>45</v>
      </c>
    </row>
    <row r="47" spans="1:4" x14ac:dyDescent="0.35">
      <c r="A47">
        <v>48</v>
      </c>
      <c r="B47" t="str">
        <f>Data!A48</f>
        <v>Stallion</v>
      </c>
      <c r="C47">
        <f t="shared" si="0"/>
        <v>48</v>
      </c>
      <c r="D47">
        <v>46</v>
      </c>
    </row>
    <row r="48" spans="1:4" x14ac:dyDescent="0.35">
      <c r="A48">
        <v>47</v>
      </c>
      <c r="B48" t="str">
        <f>Data!A49</f>
        <v>The Creator</v>
      </c>
      <c r="C48">
        <f t="shared" si="0"/>
        <v>47</v>
      </c>
      <c r="D48">
        <v>47</v>
      </c>
    </row>
    <row r="49" spans="1:4" x14ac:dyDescent="0.35">
      <c r="A49">
        <v>46</v>
      </c>
      <c r="B49" t="str">
        <f>Data!A50</f>
        <v>TheZipZipMan</v>
      </c>
      <c r="C49">
        <f t="shared" si="0"/>
        <v>46</v>
      </c>
      <c r="D49">
        <v>48</v>
      </c>
    </row>
    <row r="50" spans="1:4" x14ac:dyDescent="0.35">
      <c r="A50">
        <v>45</v>
      </c>
      <c r="B50" t="str">
        <f>Data!A51</f>
        <v>Timbo</v>
      </c>
      <c r="C50">
        <f t="shared" si="0"/>
        <v>45</v>
      </c>
      <c r="D50">
        <v>49</v>
      </c>
    </row>
    <row r="51" spans="1:4" x14ac:dyDescent="0.35">
      <c r="A51">
        <v>44</v>
      </c>
      <c r="B51" t="str">
        <f>Data!A52</f>
        <v>Tripod</v>
      </c>
      <c r="C51">
        <f t="shared" si="0"/>
        <v>44</v>
      </c>
      <c r="D51">
        <v>50</v>
      </c>
    </row>
    <row r="52" spans="1:4" x14ac:dyDescent="0.35">
      <c r="A52">
        <v>43</v>
      </c>
      <c r="B52" t="str">
        <f>Data!A53</f>
        <v>UpthePamfers</v>
      </c>
      <c r="C52">
        <f t="shared" si="0"/>
        <v>43</v>
      </c>
      <c r="D52">
        <v>51</v>
      </c>
    </row>
    <row r="53" spans="1:4" x14ac:dyDescent="0.35">
      <c r="A53">
        <v>42</v>
      </c>
      <c r="B53" t="str">
        <f>Data!A54</f>
        <v>Westy</v>
      </c>
      <c r="C53">
        <f t="shared" si="0"/>
        <v>42</v>
      </c>
      <c r="D53">
        <v>52</v>
      </c>
    </row>
    <row r="54" spans="1:4" x14ac:dyDescent="0.35">
      <c r="A54">
        <v>41</v>
      </c>
      <c r="B54" t="str">
        <f>Data!A55</f>
        <v>Wiley C</v>
      </c>
      <c r="C54">
        <f t="shared" si="0"/>
        <v>41</v>
      </c>
      <c r="D54">
        <v>53</v>
      </c>
    </row>
    <row r="55" spans="1:4" x14ac:dyDescent="0.35">
      <c r="A55">
        <v>40</v>
      </c>
      <c r="B55" t="str">
        <f>Data!A56</f>
        <v>Yackas</v>
      </c>
      <c r="C55">
        <f t="shared" si="0"/>
        <v>40</v>
      </c>
      <c r="D55">
        <v>54</v>
      </c>
    </row>
    <row r="56" spans="1:4" x14ac:dyDescent="0.35">
      <c r="A56">
        <v>39</v>
      </c>
      <c r="B56" t="str">
        <f>Data!A57</f>
        <v>ZZZZZZ Suspend</v>
      </c>
      <c r="C56">
        <f t="shared" si="0"/>
        <v>39</v>
      </c>
      <c r="D56">
        <v>55</v>
      </c>
    </row>
    <row r="57" spans="1:4" x14ac:dyDescent="0.35">
      <c r="A57">
        <v>38</v>
      </c>
      <c r="B57" t="str">
        <f>Data!A58</f>
        <v>ZZZZZZ Suspend</v>
      </c>
      <c r="C57">
        <f t="shared" si="0"/>
        <v>38</v>
      </c>
      <c r="D57">
        <v>56</v>
      </c>
    </row>
    <row r="58" spans="1:4" x14ac:dyDescent="0.35">
      <c r="A58">
        <v>37</v>
      </c>
      <c r="B58" t="str">
        <f>Data!A59</f>
        <v>ZZZZZZ Suspend</v>
      </c>
      <c r="C58">
        <f t="shared" si="0"/>
        <v>37</v>
      </c>
      <c r="D58">
        <v>57</v>
      </c>
    </row>
    <row r="59" spans="1:4" x14ac:dyDescent="0.35">
      <c r="A59">
        <v>36</v>
      </c>
      <c r="B59" t="str">
        <f>Data!A60</f>
        <v>ZZZZZZ Suspend</v>
      </c>
      <c r="C59">
        <f t="shared" si="0"/>
        <v>36</v>
      </c>
      <c r="D59">
        <v>58</v>
      </c>
    </row>
    <row r="60" spans="1:4" x14ac:dyDescent="0.35">
      <c r="A60">
        <v>26</v>
      </c>
      <c r="B60" t="str">
        <f>Data!A61</f>
        <v>ZZZZZZ Suspend</v>
      </c>
      <c r="C60">
        <f t="shared" si="0"/>
        <v>26</v>
      </c>
      <c r="D60">
        <v>59</v>
      </c>
    </row>
    <row r="61" spans="1:4" x14ac:dyDescent="0.35">
      <c r="A61">
        <v>35</v>
      </c>
      <c r="B61" t="str">
        <f>Data!A62</f>
        <v>ZZZZZZ Suspend</v>
      </c>
      <c r="C61">
        <f t="shared" si="0"/>
        <v>35</v>
      </c>
      <c r="D61">
        <v>60</v>
      </c>
    </row>
    <row r="62" spans="1:4" x14ac:dyDescent="0.35">
      <c r="A62">
        <v>34</v>
      </c>
      <c r="B62" t="str">
        <f>Data!A63</f>
        <v>ZZZZZZ Suspend</v>
      </c>
      <c r="C62">
        <f t="shared" si="0"/>
        <v>34</v>
      </c>
      <c r="D62">
        <v>61</v>
      </c>
    </row>
    <row r="63" spans="1:4" x14ac:dyDescent="0.35">
      <c r="A63">
        <v>33</v>
      </c>
      <c r="B63" t="str">
        <f>Data!A64</f>
        <v>ZZZZZZ Suspend</v>
      </c>
      <c r="C63">
        <f t="shared" si="0"/>
        <v>33</v>
      </c>
      <c r="D63">
        <v>62</v>
      </c>
    </row>
    <row r="64" spans="1:4" x14ac:dyDescent="0.35">
      <c r="A64">
        <v>32</v>
      </c>
      <c r="B64" t="str">
        <f>Data!A65</f>
        <v>ZZZZZZ Suspend</v>
      </c>
      <c r="C64">
        <f t="shared" si="0"/>
        <v>32</v>
      </c>
      <c r="D64">
        <v>63</v>
      </c>
    </row>
    <row r="65" spans="1:4" x14ac:dyDescent="0.35">
      <c r="A65">
        <v>31</v>
      </c>
      <c r="B65" t="str">
        <f>Data!A66</f>
        <v>ZZZZZZ Suspend</v>
      </c>
      <c r="C65">
        <f t="shared" si="0"/>
        <v>31</v>
      </c>
      <c r="D65">
        <v>64</v>
      </c>
    </row>
    <row r="66" spans="1:4" x14ac:dyDescent="0.35">
      <c r="A66">
        <v>30</v>
      </c>
      <c r="B66" t="str">
        <f>Data!A67</f>
        <v>ZZZZZZ Suspend</v>
      </c>
      <c r="C66">
        <f t="shared" si="0"/>
        <v>30</v>
      </c>
      <c r="D66">
        <v>65</v>
      </c>
    </row>
    <row r="67" spans="1:4" x14ac:dyDescent="0.35">
      <c r="A67">
        <v>29</v>
      </c>
      <c r="B67" t="str">
        <f>Data!A68</f>
        <v>ZZZZZZ Suspend</v>
      </c>
      <c r="C67">
        <f t="shared" ref="C67:C95" si="1">A67</f>
        <v>29</v>
      </c>
      <c r="D67">
        <v>66</v>
      </c>
    </row>
    <row r="68" spans="1:4" x14ac:dyDescent="0.35">
      <c r="A68">
        <v>28</v>
      </c>
      <c r="B68" t="str">
        <f>Data!A69</f>
        <v>ZZZZZZ Suspend</v>
      </c>
      <c r="C68">
        <f t="shared" si="1"/>
        <v>28</v>
      </c>
      <c r="D68">
        <v>67</v>
      </c>
    </row>
    <row r="69" spans="1:4" x14ac:dyDescent="0.35">
      <c r="A69">
        <v>27</v>
      </c>
      <c r="B69" t="str">
        <f>Data!A70</f>
        <v>ZZZZZZ Suspend</v>
      </c>
      <c r="C69">
        <f t="shared" si="1"/>
        <v>27</v>
      </c>
      <c r="D69">
        <v>68</v>
      </c>
    </row>
    <row r="70" spans="1:4" x14ac:dyDescent="0.35">
      <c r="A70">
        <v>25</v>
      </c>
      <c r="B70" t="str">
        <f>Data!A71</f>
        <v>ZZZZZZ Suspend</v>
      </c>
      <c r="C70">
        <f t="shared" si="1"/>
        <v>25</v>
      </c>
      <c r="D70">
        <v>69</v>
      </c>
    </row>
    <row r="71" spans="1:4" x14ac:dyDescent="0.35">
      <c r="A71">
        <v>24</v>
      </c>
      <c r="B71" t="str">
        <f>Data!A72</f>
        <v>ZZZZZZ Suspend</v>
      </c>
      <c r="C71">
        <f t="shared" si="1"/>
        <v>24</v>
      </c>
      <c r="D71">
        <v>70</v>
      </c>
    </row>
    <row r="72" spans="1:4" x14ac:dyDescent="0.35">
      <c r="A72">
        <v>23</v>
      </c>
      <c r="B72" t="str">
        <f>Data!A73</f>
        <v>ZZZZZZ Suspend</v>
      </c>
      <c r="C72">
        <f t="shared" si="1"/>
        <v>23</v>
      </c>
      <c r="D72">
        <v>71</v>
      </c>
    </row>
    <row r="73" spans="1:4" x14ac:dyDescent="0.35">
      <c r="A73">
        <v>22</v>
      </c>
      <c r="B73" t="str">
        <f>Data!A74</f>
        <v>ZZZZZZ Suspend</v>
      </c>
      <c r="C73">
        <f t="shared" si="1"/>
        <v>22</v>
      </c>
      <c r="D73">
        <v>72</v>
      </c>
    </row>
    <row r="74" spans="1:4" x14ac:dyDescent="0.35">
      <c r="A74">
        <v>21</v>
      </c>
      <c r="B74" t="str">
        <f>Data!A75</f>
        <v>ZZZZZZ Suspend</v>
      </c>
      <c r="C74">
        <f t="shared" si="1"/>
        <v>21</v>
      </c>
      <c r="D74">
        <v>73</v>
      </c>
    </row>
    <row r="75" spans="1:4" x14ac:dyDescent="0.35">
      <c r="A75">
        <v>20</v>
      </c>
      <c r="B75" t="str">
        <f>Data!A76</f>
        <v>ZZZZZZ Suspend</v>
      </c>
      <c r="C75">
        <f t="shared" si="1"/>
        <v>20</v>
      </c>
      <c r="D75">
        <v>74</v>
      </c>
    </row>
    <row r="76" spans="1:4" x14ac:dyDescent="0.35">
      <c r="A76">
        <v>19</v>
      </c>
      <c r="B76" t="str">
        <f>Data!A77</f>
        <v>ZZZZZZ Suspend</v>
      </c>
      <c r="C76">
        <f t="shared" si="1"/>
        <v>19</v>
      </c>
      <c r="D76">
        <v>75</v>
      </c>
    </row>
    <row r="77" spans="1:4" x14ac:dyDescent="0.35">
      <c r="A77">
        <v>18</v>
      </c>
      <c r="B77" t="str">
        <f>Data!A78</f>
        <v>ZZZZZZ Suspend</v>
      </c>
      <c r="C77">
        <f t="shared" si="1"/>
        <v>18</v>
      </c>
      <c r="D77">
        <v>76</v>
      </c>
    </row>
    <row r="78" spans="1:4" x14ac:dyDescent="0.35">
      <c r="A78">
        <v>17</v>
      </c>
      <c r="B78" t="str">
        <f>Data!A79</f>
        <v>ZZZZZZ Suspend</v>
      </c>
      <c r="C78">
        <f t="shared" si="1"/>
        <v>17</v>
      </c>
      <c r="D78">
        <v>77</v>
      </c>
    </row>
    <row r="79" spans="1:4" x14ac:dyDescent="0.35">
      <c r="A79">
        <v>12</v>
      </c>
      <c r="B79" t="str">
        <f>Data!A80</f>
        <v>ZZZZZZ Suspend</v>
      </c>
      <c r="C79">
        <f t="shared" si="1"/>
        <v>12</v>
      </c>
      <c r="D79">
        <v>78</v>
      </c>
    </row>
    <row r="80" spans="1:4" x14ac:dyDescent="0.35">
      <c r="A80">
        <v>15</v>
      </c>
      <c r="B80" t="str">
        <f>Data!A81</f>
        <v>ZZZZZZ Suspend</v>
      </c>
      <c r="C80">
        <f t="shared" si="1"/>
        <v>15</v>
      </c>
      <c r="D80">
        <v>79</v>
      </c>
    </row>
    <row r="81" spans="1:4" x14ac:dyDescent="0.35">
      <c r="A81">
        <v>11</v>
      </c>
      <c r="B81" t="str">
        <f>Data!A82</f>
        <v>ZZZZZZ Suspend</v>
      </c>
      <c r="C81">
        <f t="shared" si="1"/>
        <v>11</v>
      </c>
      <c r="D81">
        <v>80</v>
      </c>
    </row>
    <row r="82" spans="1:4" x14ac:dyDescent="0.35">
      <c r="A82">
        <v>14</v>
      </c>
      <c r="B82" t="str">
        <f>Data!A83</f>
        <v>ZZZZZZ Suspend</v>
      </c>
      <c r="C82">
        <f t="shared" si="1"/>
        <v>14</v>
      </c>
      <c r="D82">
        <v>81</v>
      </c>
    </row>
    <row r="83" spans="1:4" x14ac:dyDescent="0.35">
      <c r="A83">
        <v>16</v>
      </c>
      <c r="B83" t="str">
        <f>Data!A84</f>
        <v>ZZZZZZ Suspend</v>
      </c>
      <c r="C83">
        <f t="shared" si="1"/>
        <v>16</v>
      </c>
      <c r="D83">
        <v>82</v>
      </c>
    </row>
    <row r="84" spans="1:4" x14ac:dyDescent="0.35">
      <c r="A84">
        <v>13</v>
      </c>
      <c r="B84" t="str">
        <f>Data!A85</f>
        <v>ZZZZZZ Suspend</v>
      </c>
      <c r="C84">
        <f t="shared" si="1"/>
        <v>13</v>
      </c>
      <c r="D84">
        <v>83</v>
      </c>
    </row>
    <row r="85" spans="1:4" x14ac:dyDescent="0.35">
      <c r="A85">
        <v>10</v>
      </c>
      <c r="B85" t="str">
        <f>Data!A86</f>
        <v>ZZZZZZ Suspend</v>
      </c>
      <c r="C85">
        <f t="shared" si="1"/>
        <v>10</v>
      </c>
      <c r="D85">
        <v>84</v>
      </c>
    </row>
    <row r="86" spans="1:4" x14ac:dyDescent="0.35">
      <c r="A86">
        <v>8</v>
      </c>
      <c r="B86" t="str">
        <f>Data!A87</f>
        <v>ZZZZZZ Suspend</v>
      </c>
      <c r="C86">
        <f t="shared" si="1"/>
        <v>8</v>
      </c>
      <c r="D86">
        <v>85</v>
      </c>
    </row>
    <row r="87" spans="1:4" x14ac:dyDescent="0.35">
      <c r="A87">
        <v>7</v>
      </c>
      <c r="B87" t="str">
        <f>Data!A88</f>
        <v>ZZZZZZ Suspend</v>
      </c>
      <c r="C87">
        <f t="shared" si="1"/>
        <v>7</v>
      </c>
      <c r="D87">
        <v>86</v>
      </c>
    </row>
    <row r="88" spans="1:4" x14ac:dyDescent="0.35">
      <c r="A88">
        <v>6</v>
      </c>
      <c r="B88" t="str">
        <f>Data!A89</f>
        <v>ZZZZZZ Suspend</v>
      </c>
      <c r="C88">
        <f t="shared" si="1"/>
        <v>6</v>
      </c>
      <c r="D88">
        <v>87</v>
      </c>
    </row>
    <row r="89" spans="1:4" x14ac:dyDescent="0.35">
      <c r="A89">
        <v>4</v>
      </c>
      <c r="B89" t="str">
        <f>Data!A90</f>
        <v>ZZZZZZ Suspend</v>
      </c>
      <c r="C89">
        <f t="shared" si="1"/>
        <v>4</v>
      </c>
      <c r="D89">
        <v>88</v>
      </c>
    </row>
    <row r="90" spans="1:4" x14ac:dyDescent="0.35">
      <c r="A90">
        <v>3</v>
      </c>
      <c r="B90" t="str">
        <f>Data!A91</f>
        <v>ZZZZZZ Suspend</v>
      </c>
      <c r="C90">
        <f t="shared" si="1"/>
        <v>3</v>
      </c>
      <c r="D90">
        <v>89</v>
      </c>
    </row>
    <row r="91" spans="1:4" x14ac:dyDescent="0.35">
      <c r="A91">
        <v>2</v>
      </c>
      <c r="B91" t="str">
        <f>Data!A92</f>
        <v>ZZZZZZ Suspend</v>
      </c>
      <c r="C91">
        <f t="shared" si="1"/>
        <v>2</v>
      </c>
      <c r="D91">
        <v>90</v>
      </c>
    </row>
    <row r="92" spans="1:4" x14ac:dyDescent="0.35">
      <c r="A92">
        <v>1</v>
      </c>
      <c r="B92" t="str">
        <f>Data!A93</f>
        <v>ZZZZZZ Suspend</v>
      </c>
      <c r="C92">
        <f t="shared" si="1"/>
        <v>1</v>
      </c>
      <c r="D92">
        <v>91</v>
      </c>
    </row>
    <row r="93" spans="1:4" x14ac:dyDescent="0.35">
      <c r="A93">
        <v>9</v>
      </c>
      <c r="B93" t="str">
        <f>Data!A94</f>
        <v>ZZZZZZ Suspend</v>
      </c>
      <c r="C93">
        <f t="shared" si="1"/>
        <v>9</v>
      </c>
      <c r="D93">
        <v>92</v>
      </c>
    </row>
    <row r="94" spans="1:4" x14ac:dyDescent="0.35">
      <c r="A94">
        <v>5</v>
      </c>
      <c r="B94" t="str">
        <f>Data!A95</f>
        <v>ZZZZZZ Suspend</v>
      </c>
      <c r="C94">
        <f t="shared" si="1"/>
        <v>5</v>
      </c>
      <c r="D94">
        <v>93</v>
      </c>
    </row>
    <row r="95" spans="1:4" x14ac:dyDescent="0.35">
      <c r="A95">
        <v>999</v>
      </c>
      <c r="B95" t="str">
        <f>Data!A96</f>
        <v>***Footy Tipper***</v>
      </c>
      <c r="C95">
        <f t="shared" si="1"/>
        <v>999</v>
      </c>
      <c r="D95">
        <v>94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dimension ref="A1:AB72"/>
  <sheetViews>
    <sheetView showGridLines="0" showRowColHeaders="0" zoomScaleNormal="100" workbookViewId="0">
      <selection activeCell="C5" sqref="C5"/>
    </sheetView>
  </sheetViews>
  <sheetFormatPr defaultColWidth="8.7265625" defaultRowHeight="14.5" x14ac:dyDescent="0.35"/>
  <cols>
    <col min="1" max="1" width="2.36328125" style="58" customWidth="1"/>
    <col min="2" max="2" width="12.08984375" style="60" customWidth="1"/>
    <col min="3" max="3" width="6.36328125" style="60" customWidth="1"/>
    <col min="4" max="4" width="6.6328125" style="60" customWidth="1"/>
    <col min="5" max="5" width="23.6328125" style="60" customWidth="1"/>
    <col min="6" max="6" width="3.453125" style="60" customWidth="1"/>
    <col min="7" max="7" width="7.81640625" style="60" bestFit="1" customWidth="1"/>
    <col min="8" max="8" width="6.90625" style="60" customWidth="1"/>
    <col min="9" max="9" width="2.08984375" style="60" customWidth="1"/>
    <col min="10" max="10" width="12.1796875" style="60" bestFit="1" customWidth="1"/>
    <col min="11" max="11" width="3.453125" style="59" customWidth="1"/>
    <col min="12" max="12" width="9.26953125" style="59" customWidth="1"/>
    <col min="13" max="13" width="3.36328125" style="60" customWidth="1"/>
    <col min="14" max="14" width="9.08984375" style="60" customWidth="1"/>
    <col min="15" max="15" width="6.1796875" style="74" customWidth="1"/>
    <col min="16" max="16" width="9.26953125" style="81" hidden="1" customWidth="1"/>
    <col min="17" max="28" width="8.7265625" style="81" hidden="1" customWidth="1"/>
    <col min="29" max="16384" width="8.7265625" style="61"/>
  </cols>
  <sheetData>
    <row r="1" spans="1:28" ht="79" customHeight="1" x14ac:dyDescent="0.35">
      <c r="B1" s="128" t="s">
        <v>149</v>
      </c>
      <c r="C1" s="128"/>
      <c r="D1" s="128"/>
      <c r="E1" s="128"/>
      <c r="F1" s="128"/>
      <c r="G1" s="128"/>
      <c r="H1" s="128"/>
      <c r="I1" s="128"/>
      <c r="J1" s="128"/>
      <c r="K1" s="128"/>
      <c r="L1" s="128"/>
      <c r="M1" s="128"/>
      <c r="N1" s="128"/>
      <c r="O1" s="128"/>
      <c r="P1" s="90"/>
      <c r="Q1" s="90"/>
    </row>
    <row r="2" spans="1:28" ht="21.5" customHeight="1" x14ac:dyDescent="0.35">
      <c r="B2" s="59" t="s">
        <v>22</v>
      </c>
      <c r="G2" s="78" t="s">
        <v>74</v>
      </c>
      <c r="H2" s="79"/>
      <c r="I2" s="79"/>
      <c r="J2" s="79"/>
      <c r="K2" s="78"/>
      <c r="L2" s="78"/>
      <c r="M2" s="79"/>
      <c r="N2" s="79"/>
    </row>
    <row r="3" spans="1:28" ht="15" thickBot="1" x14ac:dyDescent="0.4">
      <c r="B3" s="62" t="s">
        <v>7</v>
      </c>
      <c r="C3" s="142" t="s">
        <v>22</v>
      </c>
      <c r="D3" s="142"/>
      <c r="E3" s="62" t="s">
        <v>8</v>
      </c>
      <c r="G3" s="144" t="s">
        <v>75</v>
      </c>
      <c r="H3" s="144"/>
      <c r="I3" s="79"/>
      <c r="K3" s="80"/>
      <c r="L3" s="144" t="s">
        <v>67</v>
      </c>
      <c r="M3" s="144"/>
      <c r="N3" s="144"/>
      <c r="O3" s="77"/>
      <c r="P3" s="79" t="s">
        <v>9</v>
      </c>
      <c r="Q3" s="79" t="s">
        <v>12</v>
      </c>
      <c r="R3" s="91" t="s">
        <v>14</v>
      </c>
      <c r="S3" s="81" t="s">
        <v>102</v>
      </c>
      <c r="T3" s="81">
        <f>Data!S3</f>
        <v>8</v>
      </c>
    </row>
    <row r="4" spans="1:28" ht="15" thickBot="1" x14ac:dyDescent="0.4">
      <c r="A4" s="58">
        <v>1</v>
      </c>
      <c r="B4" s="2" t="str">
        <f>Data!O3</f>
        <v>Sea Eagles</v>
      </c>
      <c r="C4" s="73">
        <v>18</v>
      </c>
      <c r="D4" s="73">
        <v>20</v>
      </c>
      <c r="E4" s="2" t="str">
        <f>Data!P3</f>
        <v>Dragons</v>
      </c>
      <c r="G4" s="145"/>
      <c r="H4" s="146"/>
      <c r="I4" s="146"/>
      <c r="J4" s="147"/>
      <c r="L4" s="64" t="str">
        <f>IF(P13="","",VLOOKUP($P13,$P13:$AB13,3,FALSE))</f>
        <v/>
      </c>
      <c r="M4" s="84" t="str">
        <f>IF(P13="","",VLOOKUP($P13,$P13:$AB13,4,FALSE))</f>
        <v/>
      </c>
      <c r="N4" s="64" t="str">
        <f>IF(P13="","",VLOOKUP($P13,$P13:$AB13,5,FALSE))</f>
        <v/>
      </c>
      <c r="P4" s="81" t="str">
        <f t="shared" ref="P4:P11" si="0">IF(D4="","",IF(C4&gt;D4,B4,E4))</f>
        <v>Dragons</v>
      </c>
      <c r="Q4" s="81" t="str">
        <f t="shared" ref="Q4:Q11" si="1">IF($D4="","",IF($C4&lt;$D4,$B4,$E4))</f>
        <v>Sea Eagles</v>
      </c>
      <c r="R4" s="91" t="s">
        <v>15</v>
      </c>
      <c r="S4" s="17" t="s">
        <v>104</v>
      </c>
      <c r="T4" s="81">
        <f>3+T3</f>
        <v>11</v>
      </c>
    </row>
    <row r="5" spans="1:28" x14ac:dyDescent="0.35">
      <c r="A5" s="58">
        <v>2</v>
      </c>
      <c r="B5" s="2" t="str">
        <f>Data!O4</f>
        <v>Bulldogs</v>
      </c>
      <c r="C5" s="73"/>
      <c r="D5" s="73"/>
      <c r="E5" s="2" t="str">
        <f>Data!P4</f>
        <v>Rabbitohs</v>
      </c>
      <c r="G5" s="79"/>
      <c r="H5" s="79"/>
      <c r="I5" s="79"/>
      <c r="J5" s="79"/>
      <c r="K5" s="78"/>
      <c r="L5" s="83"/>
      <c r="M5" s="85"/>
      <c r="N5" s="79"/>
      <c r="P5" s="81" t="str">
        <f t="shared" si="0"/>
        <v/>
      </c>
      <c r="Q5" s="81" t="str">
        <f t="shared" si="1"/>
        <v/>
      </c>
      <c r="R5" s="91" t="s">
        <v>16</v>
      </c>
      <c r="S5" s="17" t="s">
        <v>103</v>
      </c>
      <c r="T5" s="81" t="str">
        <f>"C4:D"&amp;T4</f>
        <v>C4:D11</v>
      </c>
    </row>
    <row r="6" spans="1:28" x14ac:dyDescent="0.35">
      <c r="A6" s="58">
        <v>3</v>
      </c>
      <c r="B6" s="2" t="str">
        <f>Data!O5</f>
        <v>Dolphins</v>
      </c>
      <c r="C6" s="73"/>
      <c r="D6" s="73"/>
      <c r="E6" s="2" t="str">
        <f>Data!P5</f>
        <v>Storm</v>
      </c>
      <c r="G6" s="143" t="s">
        <v>68</v>
      </c>
      <c r="H6" s="143"/>
      <c r="I6" s="143"/>
      <c r="J6" s="143"/>
      <c r="L6" s="143" t="s">
        <v>72</v>
      </c>
      <c r="M6" s="143"/>
      <c r="N6" s="143"/>
      <c r="P6" s="81" t="str">
        <f t="shared" si="0"/>
        <v/>
      </c>
      <c r="Q6" s="81" t="str">
        <f t="shared" si="1"/>
        <v/>
      </c>
      <c r="R6" s="92" t="s">
        <v>70</v>
      </c>
      <c r="S6" s="81" t="s">
        <v>89</v>
      </c>
      <c r="T6" s="93">
        <v>1</v>
      </c>
    </row>
    <row r="7" spans="1:28" x14ac:dyDescent="0.35">
      <c r="A7" s="58">
        <v>4</v>
      </c>
      <c r="B7" s="2" t="str">
        <f>Data!O6</f>
        <v>Warriors</v>
      </c>
      <c r="C7" s="73"/>
      <c r="D7" s="73"/>
      <c r="E7" s="2" t="str">
        <f>Data!P6</f>
        <v>Broncos</v>
      </c>
      <c r="G7" s="62" t="s">
        <v>18</v>
      </c>
      <c r="H7" s="66" t="s">
        <v>73</v>
      </c>
      <c r="I7" s="66"/>
      <c r="J7" s="62" t="s">
        <v>20</v>
      </c>
      <c r="K7" s="67"/>
      <c r="L7" s="62" t="s">
        <v>0</v>
      </c>
      <c r="M7" s="62"/>
      <c r="N7" s="62" t="s">
        <v>1</v>
      </c>
      <c r="P7" s="81" t="str">
        <f t="shared" si="0"/>
        <v/>
      </c>
      <c r="Q7" s="81" t="str">
        <f t="shared" si="1"/>
        <v/>
      </c>
      <c r="R7" s="92" t="s">
        <v>71</v>
      </c>
    </row>
    <row r="8" spans="1:28" x14ac:dyDescent="0.35">
      <c r="A8" s="58">
        <v>5</v>
      </c>
      <c r="B8" s="2" t="str">
        <f>IF(Data!S$3&lt;'Live Ladder'!$A8,"",Data!O7)</f>
        <v>Roosters</v>
      </c>
      <c r="C8" s="73"/>
      <c r="D8" s="73"/>
      <c r="E8" s="2" t="str">
        <f>IF(Data!S$3&lt;'Live Ladder'!$A8,"",Data!P7)</f>
        <v>Panthers</v>
      </c>
      <c r="G8" s="86" t="str">
        <f>IF(P13="","",L8-VLOOKUP($P13,Engine!A:R,18,FALSE))</f>
        <v/>
      </c>
      <c r="H8" s="79" t="str">
        <f>IF(P13="","",N8-VLOOKUP($P13,Engine!A:S,19,FALSE))</f>
        <v/>
      </c>
      <c r="I8" s="79"/>
      <c r="J8" s="79" t="str">
        <f>IF(P13="","",IF(U13=0,"",U13))</f>
        <v/>
      </c>
      <c r="K8" s="72" t="str">
        <f>IF(P13="","",IF(COUNTIF(P$4:P$11,J8)=1,R$6,IF(COUNTIF(Q$4:Q$11,J8)=1,R$7,"")))</f>
        <v/>
      </c>
      <c r="L8" s="82" t="str">
        <f>IF(P13="","",Z13)</f>
        <v/>
      </c>
      <c r="M8" s="79"/>
      <c r="N8" s="79" t="str">
        <f>IF(P13="","",AB13)</f>
        <v/>
      </c>
      <c r="P8" s="81" t="str">
        <f t="shared" si="0"/>
        <v/>
      </c>
      <c r="Q8" s="81" t="str">
        <f t="shared" si="1"/>
        <v/>
      </c>
    </row>
    <row r="9" spans="1:28" x14ac:dyDescent="0.35">
      <c r="A9" s="58">
        <v>6</v>
      </c>
      <c r="B9" s="2" t="str">
        <f>IF(Data!S$3&lt;'Live Ladder'!$A9,"",Data!O8)</f>
        <v>Titans</v>
      </c>
      <c r="C9" s="73"/>
      <c r="D9" s="73"/>
      <c r="E9" s="2" t="str">
        <f>IF(Data!S$3&lt;'Live Ladder'!$A9,"",Data!P8)</f>
        <v>Raiders</v>
      </c>
      <c r="G9" s="87"/>
      <c r="H9" s="88"/>
      <c r="I9" s="74"/>
      <c r="J9" s="74"/>
      <c r="K9" s="75"/>
      <c r="L9" s="75"/>
      <c r="M9" s="74"/>
      <c r="N9" s="74"/>
      <c r="P9" s="81" t="str">
        <f t="shared" ref="P9" si="2">IF(D9="","",IF(C9&gt;D9,B9,E9))</f>
        <v/>
      </c>
      <c r="Q9" s="81" t="str">
        <f t="shared" si="1"/>
        <v/>
      </c>
    </row>
    <row r="10" spans="1:28" x14ac:dyDescent="0.35">
      <c r="A10" s="58">
        <v>7</v>
      </c>
      <c r="B10" s="2" t="str">
        <f>IF(Data!S$3&lt;'Live Ladder'!$A10,"",Data!O9)</f>
        <v>Knights</v>
      </c>
      <c r="C10" s="73"/>
      <c r="D10" s="73"/>
      <c r="E10" s="2" t="str">
        <f>IF(Data!S$3&lt;'Live Ladder'!$A10,"",Data!P9)</f>
        <v>Sharks</v>
      </c>
      <c r="J10" s="60" t="str">
        <f>IF(J8="No Tips","Tips not submitted","")</f>
        <v/>
      </c>
      <c r="P10" s="81" t="str">
        <f t="shared" si="0"/>
        <v/>
      </c>
      <c r="Q10" s="81" t="str">
        <f t="shared" si="1"/>
        <v/>
      </c>
    </row>
    <row r="11" spans="1:28" x14ac:dyDescent="0.35">
      <c r="A11" s="58">
        <v>8</v>
      </c>
      <c r="B11" s="2" t="str">
        <f>IF(Data!S$3&lt;'Live Ladder'!$A11,"",Data!O10)</f>
        <v>Wests Tigers</v>
      </c>
      <c r="C11" s="73"/>
      <c r="D11" s="73"/>
      <c r="E11" s="2" t="str">
        <f>IF(Data!S$3&lt;'Live Ladder'!$A11,"",Data!P10)</f>
        <v>Eels</v>
      </c>
      <c r="P11" s="81" t="str">
        <f t="shared" si="0"/>
        <v/>
      </c>
      <c r="Q11" s="81" t="str">
        <f t="shared" si="1"/>
        <v/>
      </c>
      <c r="Z11" s="141" t="s">
        <v>72</v>
      </c>
      <c r="AA11" s="141"/>
      <c r="AB11" s="141"/>
    </row>
    <row r="12" spans="1:28" ht="29" customHeight="1" x14ac:dyDescent="0.35">
      <c r="B12" s="59" t="s">
        <v>21</v>
      </c>
      <c r="P12" s="81" t="s">
        <v>213</v>
      </c>
      <c r="Q12" s="81" t="s">
        <v>88</v>
      </c>
      <c r="R12" s="81" t="s">
        <v>85</v>
      </c>
      <c r="S12" s="91" t="s">
        <v>16</v>
      </c>
      <c r="T12" s="81" t="s">
        <v>87</v>
      </c>
      <c r="U12" s="62" t="s">
        <v>20</v>
      </c>
      <c r="V12" s="66"/>
      <c r="W12" s="66"/>
      <c r="X12" s="62" t="s">
        <v>20</v>
      </c>
      <c r="Y12" s="67"/>
      <c r="Z12" s="62" t="s">
        <v>0</v>
      </c>
      <c r="AA12" s="62"/>
      <c r="AB12" s="62" t="s">
        <v>1</v>
      </c>
    </row>
    <row r="13" spans="1:28" x14ac:dyDescent="0.35">
      <c r="B13" s="143" t="s">
        <v>67</v>
      </c>
      <c r="C13" s="143"/>
      <c r="D13" s="143"/>
      <c r="E13" s="63" t="s">
        <v>69</v>
      </c>
      <c r="F13" s="64"/>
      <c r="G13" s="143" t="s">
        <v>68</v>
      </c>
      <c r="H13" s="143"/>
      <c r="I13" s="143"/>
      <c r="J13" s="143"/>
      <c r="K13" s="65"/>
      <c r="L13" s="143" t="s">
        <v>72</v>
      </c>
      <c r="M13" s="143"/>
      <c r="N13" s="143"/>
      <c r="O13" s="76"/>
      <c r="P13" s="93" t="str">
        <f>IF(G4="","",VLOOKUP(G4,'Code Table'!B:D,3,FALSE))</f>
        <v/>
      </c>
      <c r="Q13" s="81">
        <f>G4</f>
        <v>0</v>
      </c>
      <c r="R13" s="81" t="e">
        <f>VLOOKUP($P13,Engine!$A:$E,4,FALSE)</f>
        <v>#N/A</v>
      </c>
      <c r="S13" s="91" t="e">
        <f>VLOOKUP($P13,Engine!$A:$E,5,FALSE)</f>
        <v>#N/A</v>
      </c>
      <c r="T13" s="81" t="e">
        <f>VLOOKUP($P13,Engine!$A:$F,6,FALSE)</f>
        <v>#N/A</v>
      </c>
      <c r="U13" s="81" t="e">
        <f>VLOOKUP(P13,Engine!A:Q,17,FALSE)</f>
        <v>#N/A</v>
      </c>
      <c r="Z13" s="81" t="e">
        <f>VLOOKUP(P13,Engine!$A:$AA,25,FALSE)</f>
        <v>#N/A</v>
      </c>
      <c r="AB13" s="81" t="e">
        <f>VLOOKUP(P13,Engine!$A:$AA,26,FALSE)</f>
        <v>#N/A</v>
      </c>
    </row>
    <row r="14" spans="1:28" x14ac:dyDescent="0.35">
      <c r="G14" s="62" t="s">
        <v>18</v>
      </c>
      <c r="H14" s="66" t="s">
        <v>73</v>
      </c>
      <c r="I14" s="66"/>
      <c r="J14" s="62" t="s">
        <v>20</v>
      </c>
      <c r="K14" s="67"/>
      <c r="L14" s="62" t="s">
        <v>0</v>
      </c>
      <c r="M14" s="62"/>
      <c r="N14" s="62" t="s">
        <v>1</v>
      </c>
      <c r="O14" s="76"/>
      <c r="Q14" s="81" t="s">
        <v>212</v>
      </c>
    </row>
    <row r="15" spans="1:28" x14ac:dyDescent="0.35">
      <c r="A15" s="68">
        <f>T6</f>
        <v>1</v>
      </c>
      <c r="B15" s="7">
        <f>A15</f>
        <v>1</v>
      </c>
      <c r="C15" s="69" t="str">
        <f>VLOOKUP($A15,Engine!$D:$H,2,FALSE)</f>
        <v>u</v>
      </c>
      <c r="D15" s="70" t="str">
        <f>VLOOKUP($A15,Engine!$D:$H,3,FALSE)</f>
        <v/>
      </c>
      <c r="E15" s="7" t="str">
        <f>VLOOKUP($A15,Engine!$D:$H,5,FALSE)</f>
        <v>Craig Young's Love Child</v>
      </c>
      <c r="F15" s="71"/>
      <c r="G15" s="8">
        <f>L15-VLOOKUP($A15,Engine!$D:$S,15,FALSE)</f>
        <v>0</v>
      </c>
      <c r="H15" s="8">
        <f>N15-VLOOKUP($A15,Engine!$D:$S,16,FALSE)</f>
        <v>18</v>
      </c>
      <c r="I15" s="9"/>
      <c r="J15" s="8" t="str">
        <f>IF(VLOOKUP(E15,Engine!H:Q,10,FALSE)=0,"",VLOOKUP(E15,Engine!H:Q,10,FALSE))</f>
        <v>Bulldogs</v>
      </c>
      <c r="K15" s="72" t="str">
        <f t="shared" ref="K15:K46" si="3">IF(COUNTIF(P$4:P$11,J15)=1,R$6,IF(COUNTIF(Q$4:Q$11,J15)=1,R$7,""))</f>
        <v/>
      </c>
      <c r="L15" s="7">
        <f>VLOOKUP($A15,Engine!$D:$Z,22,FALSE)</f>
        <v>40</v>
      </c>
      <c r="M15" s="71"/>
      <c r="N15" s="7">
        <f>VLOOKUP($A15,Engine!$D:$Z,23,FALSE)</f>
        <v>1233</v>
      </c>
      <c r="O15" s="89"/>
    </row>
    <row r="16" spans="1:28" x14ac:dyDescent="0.35">
      <c r="A16" s="68">
        <f>A15+1</f>
        <v>2</v>
      </c>
      <c r="B16" s="7">
        <f t="shared" ref="B16:B46" si="4">A16</f>
        <v>2</v>
      </c>
      <c r="C16" s="69" t="str">
        <f>VLOOKUP($A16,Engine!$D:$H,2,FALSE)</f>
        <v>u</v>
      </c>
      <c r="D16" s="70" t="str">
        <f>VLOOKUP($A16,Engine!$D:$H,3,FALSE)</f>
        <v/>
      </c>
      <c r="E16" s="7" t="str">
        <f>VLOOKUP($A16,Engine!$D:$H,5,FALSE)</f>
        <v>MB</v>
      </c>
      <c r="F16" s="71"/>
      <c r="G16" s="8">
        <f>L16-VLOOKUP($A16,Engine!$D:$S,15,FALSE)</f>
        <v>0</v>
      </c>
      <c r="H16" s="8">
        <f>N16-VLOOKUP($A16,Engine!$D:$S,16,FALSE)</f>
        <v>18</v>
      </c>
      <c r="I16" s="9"/>
      <c r="J16" s="8" t="str">
        <f>IF(VLOOKUP(E16,Engine!H:Q,10,FALSE)=0,"",VLOOKUP(E16,Engine!H:Q,10,FALSE))</f>
        <v>Broncos</v>
      </c>
      <c r="K16" s="72" t="str">
        <f t="shared" si="3"/>
        <v/>
      </c>
      <c r="L16" s="7">
        <f>VLOOKUP($A16,Engine!$D:$Z,22,FALSE)</f>
        <v>38</v>
      </c>
      <c r="M16" s="71"/>
      <c r="N16" s="7">
        <f>VLOOKUP($A16,Engine!$D:$Z,23,FALSE)</f>
        <v>1265</v>
      </c>
      <c r="O16" s="89"/>
    </row>
    <row r="17" spans="1:15" s="61" customFormat="1" x14ac:dyDescent="0.35">
      <c r="A17" s="68">
        <f t="shared" ref="A17:A72" si="5">A16+1</f>
        <v>3</v>
      </c>
      <c r="B17" s="7">
        <f t="shared" si="4"/>
        <v>3</v>
      </c>
      <c r="C17" s="69" t="str">
        <f>VLOOKUP($A17,Engine!$D:$H,2,FALSE)</f>
        <v>u</v>
      </c>
      <c r="D17" s="70" t="str">
        <f>VLOOKUP($A17,Engine!$D:$H,3,FALSE)</f>
        <v/>
      </c>
      <c r="E17" s="7" t="str">
        <f>VLOOKUP($A17,Engine!$D:$H,5,FALSE)</f>
        <v>Rossco the Pom</v>
      </c>
      <c r="F17" s="71"/>
      <c r="G17" s="8">
        <f>L17-VLOOKUP($A17,Engine!$D:$S,15,FALSE)</f>
        <v>0</v>
      </c>
      <c r="H17" s="8">
        <f>N17-VLOOKUP($A17,Engine!$D:$S,16,FALSE)</f>
        <v>18</v>
      </c>
      <c r="I17" s="9"/>
      <c r="J17" s="8" t="str">
        <f>IF(VLOOKUP(E17,Engine!H:Q,10,FALSE)=0,"",VLOOKUP(E17,Engine!H:Q,10,FALSE))</f>
        <v>Bulldogs</v>
      </c>
      <c r="K17" s="72" t="str">
        <f t="shared" si="3"/>
        <v/>
      </c>
      <c r="L17" s="7">
        <f>VLOOKUP($A17,Engine!$D:$Z,22,FALSE)</f>
        <v>38</v>
      </c>
      <c r="M17" s="71"/>
      <c r="N17" s="7">
        <f>VLOOKUP($A17,Engine!$D:$Z,23,FALSE)</f>
        <v>1237</v>
      </c>
      <c r="O17" s="89"/>
    </row>
    <row r="18" spans="1:15" s="61" customFormat="1" x14ac:dyDescent="0.35">
      <c r="A18" s="68">
        <f t="shared" si="5"/>
        <v>4</v>
      </c>
      <c r="B18" s="7">
        <f t="shared" si="4"/>
        <v>4</v>
      </c>
      <c r="C18" s="69" t="str">
        <f>VLOOKUP($A18,Engine!$D:$H,2,FALSE)</f>
        <v>u</v>
      </c>
      <c r="D18" s="70" t="str">
        <f>VLOOKUP($A18,Engine!$D:$H,3,FALSE)</f>
        <v/>
      </c>
      <c r="E18" s="7" t="str">
        <f>VLOOKUP($A18,Engine!$D:$H,5,FALSE)</f>
        <v>Robert Cook</v>
      </c>
      <c r="F18" s="71"/>
      <c r="G18" s="8">
        <f>L18-VLOOKUP($A18,Engine!$D:$S,15,FALSE)</f>
        <v>0</v>
      </c>
      <c r="H18" s="8">
        <f>N18-VLOOKUP($A18,Engine!$D:$S,16,FALSE)</f>
        <v>18</v>
      </c>
      <c r="I18" s="9"/>
      <c r="J18" s="8" t="str">
        <f>IF(VLOOKUP(E18,Engine!H:Q,10,FALSE)=0,"",VLOOKUP(E18,Engine!H:Q,10,FALSE))</f>
        <v>Storm</v>
      </c>
      <c r="K18" s="72" t="str">
        <f t="shared" si="3"/>
        <v/>
      </c>
      <c r="L18" s="7">
        <f>VLOOKUP($A18,Engine!$D:$Z,22,FALSE)</f>
        <v>36</v>
      </c>
      <c r="M18" s="71"/>
      <c r="N18" s="7">
        <f>VLOOKUP($A18,Engine!$D:$Z,23,FALSE)</f>
        <v>1204</v>
      </c>
      <c r="O18" s="89"/>
    </row>
    <row r="19" spans="1:15" s="61" customFormat="1" x14ac:dyDescent="0.35">
      <c r="A19" s="68">
        <f t="shared" si="5"/>
        <v>5</v>
      </c>
      <c r="B19" s="7">
        <f t="shared" si="4"/>
        <v>5</v>
      </c>
      <c r="C19" s="69" t="str">
        <f>VLOOKUP($A19,Engine!$D:$H,2,FALSE)</f>
        <v>u</v>
      </c>
      <c r="D19" s="70" t="str">
        <f>VLOOKUP($A19,Engine!$D:$H,3,FALSE)</f>
        <v/>
      </c>
      <c r="E19" s="7" t="str">
        <f>VLOOKUP($A19,Engine!$D:$H,5,FALSE)</f>
        <v>Seano</v>
      </c>
      <c r="F19" s="71"/>
      <c r="G19" s="8">
        <f>L19-VLOOKUP($A19,Engine!$D:$S,15,FALSE)</f>
        <v>0</v>
      </c>
      <c r="H19" s="8">
        <f>N19-VLOOKUP($A19,Engine!$D:$S,16,FALSE)</f>
        <v>18</v>
      </c>
      <c r="I19" s="9"/>
      <c r="J19" s="8" t="str">
        <f>IF(VLOOKUP(E19,Engine!H:Q,10,FALSE)=0,"",VLOOKUP(E19,Engine!H:Q,10,FALSE))</f>
        <v>Storm</v>
      </c>
      <c r="K19" s="72" t="str">
        <f t="shared" si="3"/>
        <v/>
      </c>
      <c r="L19" s="7">
        <f>VLOOKUP($A19,Engine!$D:$Z,22,FALSE)</f>
        <v>35</v>
      </c>
      <c r="M19" s="71"/>
      <c r="N19" s="7">
        <f>VLOOKUP($A19,Engine!$D:$Z,23,FALSE)</f>
        <v>1215</v>
      </c>
      <c r="O19" s="76"/>
    </row>
    <row r="20" spans="1:15" s="61" customFormat="1" x14ac:dyDescent="0.35">
      <c r="A20" s="68">
        <f t="shared" si="5"/>
        <v>6</v>
      </c>
      <c r="B20" s="7">
        <f t="shared" si="4"/>
        <v>6</v>
      </c>
      <c r="C20" s="69" t="str">
        <f>VLOOKUP($A20,Engine!$D:$H,2,FALSE)</f>
        <v>u</v>
      </c>
      <c r="D20" s="70" t="str">
        <f>VLOOKUP($A20,Engine!$D:$H,3,FALSE)</f>
        <v/>
      </c>
      <c r="E20" s="7" t="str">
        <f>VLOOKUP($A20,Engine!$D:$H,5,FALSE)</f>
        <v>Big Moose</v>
      </c>
      <c r="F20" s="71"/>
      <c r="G20" s="8">
        <f>L20-VLOOKUP($A20,Engine!$D:$S,15,FALSE)</f>
        <v>0</v>
      </c>
      <c r="H20" s="8">
        <f>N20-VLOOKUP($A20,Engine!$D:$S,16,FALSE)</f>
        <v>18</v>
      </c>
      <c r="I20" s="9"/>
      <c r="J20" s="8" t="str">
        <f>IF(VLOOKUP(E20,Engine!H:Q,10,FALSE)=0,"",VLOOKUP(E20,Engine!H:Q,10,FALSE))</f>
        <v>Storm</v>
      </c>
      <c r="K20" s="72" t="str">
        <f t="shared" si="3"/>
        <v/>
      </c>
      <c r="L20" s="7">
        <f>VLOOKUP($A20,Engine!$D:$Z,22,FALSE)</f>
        <v>35</v>
      </c>
      <c r="M20" s="71"/>
      <c r="N20" s="7">
        <f>VLOOKUP($A20,Engine!$D:$Z,23,FALSE)</f>
        <v>1211</v>
      </c>
      <c r="O20" s="76"/>
    </row>
    <row r="21" spans="1:15" s="61" customFormat="1" x14ac:dyDescent="0.35">
      <c r="A21" s="68">
        <f t="shared" si="5"/>
        <v>7</v>
      </c>
      <c r="B21" s="7">
        <f t="shared" si="4"/>
        <v>7</v>
      </c>
      <c r="C21" s="69" t="str">
        <f>VLOOKUP($A21,Engine!$D:$H,2,FALSE)</f>
        <v>u</v>
      </c>
      <c r="D21" s="70" t="str">
        <f>VLOOKUP($A21,Engine!$D:$H,3,FALSE)</f>
        <v/>
      </c>
      <c r="E21" s="7" t="str">
        <f>VLOOKUP($A21,Engine!$D:$H,5,FALSE)</f>
        <v>murch</v>
      </c>
      <c r="F21" s="71"/>
      <c r="G21" s="8">
        <f>L21-VLOOKUP($A21,Engine!$D:$S,15,FALSE)</f>
        <v>0</v>
      </c>
      <c r="H21" s="8">
        <f>N21-VLOOKUP($A21,Engine!$D:$S,16,FALSE)</f>
        <v>18</v>
      </c>
      <c r="I21" s="9"/>
      <c r="J21" s="8" t="str">
        <f>IF(VLOOKUP(E21,Engine!H:Q,10,FALSE)=0,"",VLOOKUP(E21,Engine!H:Q,10,FALSE))</f>
        <v>Storm</v>
      </c>
      <c r="K21" s="72" t="str">
        <f t="shared" si="3"/>
        <v/>
      </c>
      <c r="L21" s="7">
        <f>VLOOKUP($A21,Engine!$D:$Z,22,FALSE)</f>
        <v>34</v>
      </c>
      <c r="M21" s="71"/>
      <c r="N21" s="7">
        <f>VLOOKUP($A21,Engine!$D:$Z,23,FALSE)</f>
        <v>1181</v>
      </c>
      <c r="O21" s="76"/>
    </row>
    <row r="22" spans="1:15" s="61" customFormat="1" x14ac:dyDescent="0.35">
      <c r="A22" s="68">
        <f t="shared" si="5"/>
        <v>8</v>
      </c>
      <c r="B22" s="7">
        <f t="shared" si="4"/>
        <v>8</v>
      </c>
      <c r="C22" s="69" t="str">
        <f>VLOOKUP($A22,Engine!$D:$H,2,FALSE)</f>
        <v>p</v>
      </c>
      <c r="D22" s="70">
        <f>VLOOKUP($A22,Engine!$D:$H,3,FALSE)</f>
        <v>1</v>
      </c>
      <c r="E22" s="7" t="str">
        <f>VLOOKUP($A22,Engine!$D:$H,5,FALSE)</f>
        <v>Wiley C</v>
      </c>
      <c r="F22" s="71"/>
      <c r="G22" s="8">
        <f>L22-VLOOKUP($A22,Engine!$D:$S,15,FALSE)</f>
        <v>1</v>
      </c>
      <c r="H22" s="8">
        <f>N22-VLOOKUP($A22,Engine!$D:$S,16,FALSE)</f>
        <v>20</v>
      </c>
      <c r="I22" s="9"/>
      <c r="J22" s="8" t="str">
        <f>IF(VLOOKUP(E22,Engine!H:Q,10,FALSE)=0,"",VLOOKUP(E22,Engine!H:Q,10,FALSE))</f>
        <v>Sharks</v>
      </c>
      <c r="K22" s="72" t="str">
        <f t="shared" si="3"/>
        <v/>
      </c>
      <c r="L22" s="7">
        <f>VLOOKUP($A22,Engine!$D:$Z,22,FALSE)</f>
        <v>33</v>
      </c>
      <c r="M22" s="71"/>
      <c r="N22" s="7">
        <f>VLOOKUP($A22,Engine!$D:$Z,23,FALSE)</f>
        <v>1223</v>
      </c>
      <c r="O22" s="76"/>
    </row>
    <row r="23" spans="1:15" s="61" customFormat="1" x14ac:dyDescent="0.35">
      <c r="A23" s="68">
        <f t="shared" si="5"/>
        <v>9</v>
      </c>
      <c r="B23" s="7">
        <f t="shared" si="4"/>
        <v>9</v>
      </c>
      <c r="C23" s="69" t="str">
        <f>VLOOKUP($A23,Engine!$D:$H,2,FALSE)</f>
        <v>q</v>
      </c>
      <c r="D23" s="70">
        <f>VLOOKUP($A23,Engine!$D:$H,3,FALSE)</f>
        <v>1</v>
      </c>
      <c r="E23" s="7" t="str">
        <f>VLOOKUP($A23,Engine!$D:$H,5,FALSE)</f>
        <v>Fouad Khochaiche</v>
      </c>
      <c r="F23" s="71"/>
      <c r="G23" s="8">
        <f>L23-VLOOKUP($A23,Engine!$D:$S,15,FALSE)</f>
        <v>0</v>
      </c>
      <c r="H23" s="8">
        <f>N23-VLOOKUP($A23,Engine!$D:$S,16,FALSE)</f>
        <v>18</v>
      </c>
      <c r="I23" s="9"/>
      <c r="J23" s="8" t="str">
        <f>IF(VLOOKUP(E23,Engine!H:Q,10,FALSE)=0,"",VLOOKUP(E23,Engine!H:Q,10,FALSE))</f>
        <v>Storm</v>
      </c>
      <c r="K23" s="72" t="str">
        <f t="shared" si="3"/>
        <v/>
      </c>
      <c r="L23" s="7">
        <f>VLOOKUP($A23,Engine!$D:$Z,22,FALSE)</f>
        <v>32</v>
      </c>
      <c r="M23" s="71"/>
      <c r="N23" s="7">
        <f>VLOOKUP($A23,Engine!$D:$Z,23,FALSE)</f>
        <v>1245</v>
      </c>
      <c r="O23" s="76"/>
    </row>
    <row r="24" spans="1:15" s="61" customFormat="1" x14ac:dyDescent="0.35">
      <c r="A24" s="68">
        <f t="shared" si="5"/>
        <v>10</v>
      </c>
      <c r="B24" s="7">
        <f t="shared" si="4"/>
        <v>10</v>
      </c>
      <c r="C24" s="69" t="str">
        <f>VLOOKUP($A24,Engine!$D:$H,2,FALSE)</f>
        <v>u</v>
      </c>
      <c r="D24" s="70" t="str">
        <f>VLOOKUP($A24,Engine!$D:$H,3,FALSE)</f>
        <v/>
      </c>
      <c r="E24" s="7" t="str">
        <f>VLOOKUP($A24,Engine!$D:$H,5,FALSE)</f>
        <v>Magnum</v>
      </c>
      <c r="F24" s="71"/>
      <c r="G24" s="8">
        <f>L24-VLOOKUP($A24,Engine!$D:$S,15,FALSE)</f>
        <v>0</v>
      </c>
      <c r="H24" s="8">
        <f>N24-VLOOKUP($A24,Engine!$D:$S,16,FALSE)</f>
        <v>18</v>
      </c>
      <c r="I24" s="9"/>
      <c r="J24" s="8" t="str">
        <f>IF(VLOOKUP(E24,Engine!H:Q,10,FALSE)=0,"",VLOOKUP(E24,Engine!H:Q,10,FALSE))</f>
        <v>Storm</v>
      </c>
      <c r="K24" s="72" t="str">
        <f t="shared" si="3"/>
        <v/>
      </c>
      <c r="L24" s="7">
        <f>VLOOKUP($A24,Engine!$D:$Z,22,FALSE)</f>
        <v>32</v>
      </c>
      <c r="M24" s="71"/>
      <c r="N24" s="7">
        <f>VLOOKUP($A24,Engine!$D:$Z,23,FALSE)</f>
        <v>1219</v>
      </c>
      <c r="O24" s="76"/>
    </row>
    <row r="25" spans="1:15" s="61" customFormat="1" x14ac:dyDescent="0.35">
      <c r="A25" s="68">
        <f t="shared" si="5"/>
        <v>11</v>
      </c>
      <c r="B25" s="7">
        <f t="shared" si="4"/>
        <v>11</v>
      </c>
      <c r="C25" s="69" t="str">
        <f>VLOOKUP($A25,Engine!$D:$H,2,FALSE)</f>
        <v>u</v>
      </c>
      <c r="D25" s="70" t="str">
        <f>VLOOKUP($A25,Engine!$D:$H,3,FALSE)</f>
        <v/>
      </c>
      <c r="E25" s="7" t="str">
        <f>VLOOKUP($A25,Engine!$D:$H,5,FALSE)</f>
        <v>Panthers29</v>
      </c>
      <c r="F25" s="71"/>
      <c r="G25" s="8">
        <f>L25-VLOOKUP($A25,Engine!$D:$S,15,FALSE)</f>
        <v>0</v>
      </c>
      <c r="H25" s="8">
        <f>N25-VLOOKUP($A25,Engine!$D:$S,16,FALSE)</f>
        <v>18</v>
      </c>
      <c r="I25" s="9"/>
      <c r="J25" s="8" t="str">
        <f>IF(VLOOKUP(E25,Engine!H:Q,10,FALSE)=0,"",VLOOKUP(E25,Engine!H:Q,10,FALSE))</f>
        <v>Storm</v>
      </c>
      <c r="K25" s="72" t="str">
        <f t="shared" si="3"/>
        <v/>
      </c>
      <c r="L25" s="7">
        <f>VLOOKUP($A25,Engine!$D:$Z,22,FALSE)</f>
        <v>32</v>
      </c>
      <c r="M25" s="71"/>
      <c r="N25" s="7">
        <f>VLOOKUP($A25,Engine!$D:$Z,23,FALSE)</f>
        <v>1210</v>
      </c>
      <c r="O25" s="76"/>
    </row>
    <row r="26" spans="1:15" s="61" customFormat="1" x14ac:dyDescent="0.35">
      <c r="A26" s="68">
        <f t="shared" si="5"/>
        <v>12</v>
      </c>
      <c r="B26" s="7">
        <f t="shared" si="4"/>
        <v>12</v>
      </c>
      <c r="C26" s="69" t="str">
        <f>VLOOKUP($A26,Engine!$D:$H,2,FALSE)</f>
        <v>u</v>
      </c>
      <c r="D26" s="70" t="str">
        <f>VLOOKUP($A26,Engine!$D:$H,3,FALSE)</f>
        <v/>
      </c>
      <c r="E26" s="7" t="str">
        <f>VLOOKUP($A26,Engine!$D:$H,5,FALSE)</f>
        <v>SMOG</v>
      </c>
      <c r="F26" s="71"/>
      <c r="G26" s="8">
        <f>L26-VLOOKUP($A26,Engine!$D:$S,15,FALSE)</f>
        <v>0</v>
      </c>
      <c r="H26" s="8">
        <f>N26-VLOOKUP($A26,Engine!$D:$S,16,FALSE)</f>
        <v>18</v>
      </c>
      <c r="I26" s="9"/>
      <c r="J26" s="8" t="str">
        <f>IF(VLOOKUP(E26,Engine!H:Q,10,FALSE)=0,"",VLOOKUP(E26,Engine!H:Q,10,FALSE))</f>
        <v>Storm</v>
      </c>
      <c r="K26" s="72" t="str">
        <f t="shared" si="3"/>
        <v/>
      </c>
      <c r="L26" s="7">
        <f>VLOOKUP($A26,Engine!$D:$Z,22,FALSE)</f>
        <v>32</v>
      </c>
      <c r="M26" s="71"/>
      <c r="N26" s="7">
        <f>VLOOKUP($A26,Engine!$D:$Z,23,FALSE)</f>
        <v>1203</v>
      </c>
      <c r="O26" s="76"/>
    </row>
    <row r="27" spans="1:15" s="61" customFormat="1" x14ac:dyDescent="0.35">
      <c r="A27" s="68">
        <f t="shared" si="5"/>
        <v>13</v>
      </c>
      <c r="B27" s="7">
        <f t="shared" si="4"/>
        <v>13</v>
      </c>
      <c r="C27" s="69" t="str">
        <f>VLOOKUP($A27,Engine!$D:$H,2,FALSE)</f>
        <v>u</v>
      </c>
      <c r="D27" s="70" t="str">
        <f>VLOOKUP($A27,Engine!$D:$H,3,FALSE)</f>
        <v/>
      </c>
      <c r="E27" s="7" t="str">
        <f>VLOOKUP($A27,Engine!$D:$H,5,FALSE)</f>
        <v>Ad</v>
      </c>
      <c r="F27" s="71"/>
      <c r="G27" s="8">
        <f>L27-VLOOKUP($A27,Engine!$D:$S,15,FALSE)</f>
        <v>0</v>
      </c>
      <c r="H27" s="8">
        <f>N27-VLOOKUP($A27,Engine!$D:$S,16,FALSE)</f>
        <v>18</v>
      </c>
      <c r="I27" s="9"/>
      <c r="J27" s="8" t="str">
        <f>IF(VLOOKUP(E27,Engine!H:Q,10,FALSE)=0,"",VLOOKUP(E27,Engine!H:Q,10,FALSE))</f>
        <v>Bulldogs</v>
      </c>
      <c r="K27" s="72" t="str">
        <f t="shared" si="3"/>
        <v/>
      </c>
      <c r="L27" s="7">
        <f>VLOOKUP($A27,Engine!$D:$Z,22,FALSE)</f>
        <v>32</v>
      </c>
      <c r="M27" s="71"/>
      <c r="N27" s="7">
        <f>VLOOKUP($A27,Engine!$D:$Z,23,FALSE)</f>
        <v>1192</v>
      </c>
      <c r="O27" s="76"/>
    </row>
    <row r="28" spans="1:15" s="61" customFormat="1" x14ac:dyDescent="0.35">
      <c r="A28" s="68">
        <f t="shared" si="5"/>
        <v>14</v>
      </c>
      <c r="B28" s="7">
        <f t="shared" si="4"/>
        <v>14</v>
      </c>
      <c r="C28" s="69" t="str">
        <f>VLOOKUP($A28,Engine!$D:$H,2,FALSE)</f>
        <v>p</v>
      </c>
      <c r="D28" s="70">
        <f>VLOOKUP($A28,Engine!$D:$H,3,FALSE)</f>
        <v>1</v>
      </c>
      <c r="E28" s="7" t="str">
        <f>VLOOKUP($A28,Engine!$D:$H,5,FALSE)</f>
        <v>TheZipZipMan</v>
      </c>
      <c r="F28" s="71"/>
      <c r="G28" s="8">
        <f>L28-VLOOKUP($A28,Engine!$D:$S,15,FALSE)</f>
        <v>0</v>
      </c>
      <c r="H28" s="8">
        <f>N28-VLOOKUP($A28,Engine!$D:$S,16,FALSE)</f>
        <v>18</v>
      </c>
      <c r="I28" s="9"/>
      <c r="J28" s="8" t="str">
        <f>IF(VLOOKUP(E28,Engine!H:Q,10,FALSE)=0,"",VLOOKUP(E28,Engine!H:Q,10,FALSE))</f>
        <v>Storm</v>
      </c>
      <c r="K28" s="72" t="str">
        <f t="shared" si="3"/>
        <v/>
      </c>
      <c r="L28" s="7">
        <f>VLOOKUP($A28,Engine!$D:$Z,22,FALSE)</f>
        <v>31</v>
      </c>
      <c r="M28" s="71"/>
      <c r="N28" s="7">
        <f>VLOOKUP($A28,Engine!$D:$Z,23,FALSE)</f>
        <v>1221</v>
      </c>
      <c r="O28" s="76"/>
    </row>
    <row r="29" spans="1:15" s="61" customFormat="1" x14ac:dyDescent="0.35">
      <c r="A29" s="68">
        <f t="shared" si="5"/>
        <v>15</v>
      </c>
      <c r="B29" s="7">
        <f t="shared" si="4"/>
        <v>15</v>
      </c>
      <c r="C29" s="69" t="str">
        <f>VLOOKUP($A29,Engine!$D:$H,2,FALSE)</f>
        <v>p</v>
      </c>
      <c r="D29" s="70">
        <f>VLOOKUP($A29,Engine!$D:$H,3,FALSE)</f>
        <v>1</v>
      </c>
      <c r="E29" s="7" t="str">
        <f>VLOOKUP($A29,Engine!$D:$H,5,FALSE)</f>
        <v>MR. TAYLOR</v>
      </c>
      <c r="F29" s="71"/>
      <c r="G29" s="8">
        <f>L29-VLOOKUP($A29,Engine!$D:$S,15,FALSE)</f>
        <v>0</v>
      </c>
      <c r="H29" s="8">
        <f>N29-VLOOKUP($A29,Engine!$D:$S,16,FALSE)</f>
        <v>18</v>
      </c>
      <c r="I29" s="9"/>
      <c r="J29" s="8" t="str">
        <f>IF(VLOOKUP(E29,Engine!H:Q,10,FALSE)=0,"",VLOOKUP(E29,Engine!H:Q,10,FALSE))</f>
        <v>Storm</v>
      </c>
      <c r="K29" s="72" t="str">
        <f t="shared" si="3"/>
        <v/>
      </c>
      <c r="L29" s="7">
        <f>VLOOKUP($A29,Engine!$D:$Z,22,FALSE)</f>
        <v>31</v>
      </c>
      <c r="M29" s="71"/>
      <c r="N29" s="7">
        <f>VLOOKUP($A29,Engine!$D:$Z,23,FALSE)</f>
        <v>1205</v>
      </c>
      <c r="O29" s="76"/>
    </row>
    <row r="30" spans="1:15" s="61" customFormat="1" x14ac:dyDescent="0.35">
      <c r="A30" s="68">
        <f t="shared" si="5"/>
        <v>16</v>
      </c>
      <c r="B30" s="7">
        <f t="shared" si="4"/>
        <v>16</v>
      </c>
      <c r="C30" s="69" t="str">
        <f>VLOOKUP($A30,Engine!$D:$H,2,FALSE)</f>
        <v>p</v>
      </c>
      <c r="D30" s="70">
        <f>VLOOKUP($A30,Engine!$D:$H,3,FALSE)</f>
        <v>1</v>
      </c>
      <c r="E30" s="7" t="str">
        <f>VLOOKUP($A30,Engine!$D:$H,5,FALSE)</f>
        <v>Tripod</v>
      </c>
      <c r="F30" s="71"/>
      <c r="G30" s="8">
        <f>L30-VLOOKUP($A30,Engine!$D:$S,15,FALSE)</f>
        <v>0</v>
      </c>
      <c r="H30" s="8">
        <f>N30-VLOOKUP($A30,Engine!$D:$S,16,FALSE)</f>
        <v>18</v>
      </c>
      <c r="I30" s="9"/>
      <c r="J30" s="8" t="str">
        <f>IF(VLOOKUP(E30,Engine!H:Q,10,FALSE)=0,"",VLOOKUP(E30,Engine!H:Q,10,FALSE))</f>
        <v>Storm</v>
      </c>
      <c r="K30" s="72" t="str">
        <f t="shared" si="3"/>
        <v/>
      </c>
      <c r="L30" s="7">
        <f>VLOOKUP($A30,Engine!$D:$Z,22,FALSE)</f>
        <v>31</v>
      </c>
      <c r="M30" s="71"/>
      <c r="N30" s="7">
        <f>VLOOKUP($A30,Engine!$D:$Z,23,FALSE)</f>
        <v>1195</v>
      </c>
      <c r="O30" s="76"/>
    </row>
    <row r="31" spans="1:15" s="61" customFormat="1" x14ac:dyDescent="0.35">
      <c r="A31" s="68">
        <f t="shared" si="5"/>
        <v>17</v>
      </c>
      <c r="B31" s="7">
        <f t="shared" si="4"/>
        <v>17</v>
      </c>
      <c r="C31" s="69" t="str">
        <f>VLOOKUP($A31,Engine!$D:$H,2,FALSE)</f>
        <v>p</v>
      </c>
      <c r="D31" s="70">
        <f>VLOOKUP($A31,Engine!$D:$H,3,FALSE)</f>
        <v>1</v>
      </c>
      <c r="E31" s="7" t="str">
        <f>VLOOKUP($A31,Engine!$D:$H,5,FALSE)</f>
        <v>Big Baba</v>
      </c>
      <c r="F31" s="71"/>
      <c r="G31" s="8">
        <f>L31-VLOOKUP($A31,Engine!$D:$S,15,FALSE)</f>
        <v>0</v>
      </c>
      <c r="H31" s="8">
        <f>N31-VLOOKUP($A31,Engine!$D:$S,16,FALSE)</f>
        <v>18</v>
      </c>
      <c r="I31" s="9"/>
      <c r="J31" s="8" t="str">
        <f>IF(VLOOKUP(E31,Engine!H:Q,10,FALSE)=0,"",VLOOKUP(E31,Engine!H:Q,10,FALSE))</f>
        <v>Bulldogs</v>
      </c>
      <c r="K31" s="72" t="str">
        <f t="shared" si="3"/>
        <v/>
      </c>
      <c r="L31" s="7">
        <f>VLOOKUP($A31,Engine!$D:$Z,22,FALSE)</f>
        <v>31</v>
      </c>
      <c r="M31" s="71"/>
      <c r="N31" s="7">
        <f>VLOOKUP($A31,Engine!$D:$Z,23,FALSE)</f>
        <v>1187</v>
      </c>
      <c r="O31" s="76"/>
    </row>
    <row r="32" spans="1:15" s="61" customFormat="1" x14ac:dyDescent="0.35">
      <c r="A32" s="68">
        <f t="shared" si="5"/>
        <v>18</v>
      </c>
      <c r="B32" s="7">
        <f t="shared" si="4"/>
        <v>18</v>
      </c>
      <c r="C32" s="69" t="str">
        <f>VLOOKUP($A32,Engine!$D:$H,2,FALSE)</f>
        <v>p</v>
      </c>
      <c r="D32" s="70">
        <f>VLOOKUP($A32,Engine!$D:$H,3,FALSE)</f>
        <v>1</v>
      </c>
      <c r="E32" s="7" t="str">
        <f>VLOOKUP($A32,Engine!$D:$H,5,FALSE)</f>
        <v>The Creator</v>
      </c>
      <c r="F32" s="71"/>
      <c r="G32" s="8">
        <f>L32-VLOOKUP($A32,Engine!$D:$S,15,FALSE)</f>
        <v>0</v>
      </c>
      <c r="H32" s="8">
        <f>N32-VLOOKUP($A32,Engine!$D:$S,16,FALSE)</f>
        <v>18</v>
      </c>
      <c r="I32" s="9"/>
      <c r="J32" s="8" t="str">
        <f>IF(VLOOKUP(E32,Engine!H:Q,10,FALSE)=0,"",VLOOKUP(E32,Engine!H:Q,10,FALSE))</f>
        <v>Storm</v>
      </c>
      <c r="K32" s="72" t="str">
        <f t="shared" si="3"/>
        <v/>
      </c>
      <c r="L32" s="7">
        <f>VLOOKUP($A32,Engine!$D:$Z,22,FALSE)</f>
        <v>31</v>
      </c>
      <c r="M32" s="71"/>
      <c r="N32" s="7">
        <f>VLOOKUP($A32,Engine!$D:$Z,23,FALSE)</f>
        <v>1165</v>
      </c>
      <c r="O32" s="76"/>
    </row>
    <row r="33" spans="1:15" s="61" customFormat="1" x14ac:dyDescent="0.35">
      <c r="A33" s="68">
        <f t="shared" si="5"/>
        <v>19</v>
      </c>
      <c r="B33" s="7">
        <f t="shared" si="4"/>
        <v>19</v>
      </c>
      <c r="C33" s="69" t="str">
        <f>VLOOKUP($A33,Engine!$D:$H,2,FALSE)</f>
        <v>p</v>
      </c>
      <c r="D33" s="70">
        <f>VLOOKUP($A33,Engine!$D:$H,3,FALSE)</f>
        <v>2</v>
      </c>
      <c r="E33" s="7" t="str">
        <f>VLOOKUP($A33,Engine!$D:$H,5,FALSE)</f>
        <v>Krusty</v>
      </c>
      <c r="F33" s="71"/>
      <c r="G33" s="8">
        <f>L33-VLOOKUP($A33,Engine!$D:$S,15,FALSE)</f>
        <v>1</v>
      </c>
      <c r="H33" s="8">
        <f>N33-VLOOKUP($A33,Engine!$D:$S,16,FALSE)</f>
        <v>20</v>
      </c>
      <c r="I33" s="9"/>
      <c r="J33" s="8" t="str">
        <f>IF(VLOOKUP(E33,Engine!H:Q,10,FALSE)=0,"",VLOOKUP(E33,Engine!H:Q,10,FALSE))</f>
        <v>Bulldogs</v>
      </c>
      <c r="K33" s="72" t="str">
        <f t="shared" si="3"/>
        <v/>
      </c>
      <c r="L33" s="7">
        <f>VLOOKUP($A33,Engine!$D:$Z,22,FALSE)</f>
        <v>31</v>
      </c>
      <c r="M33" s="71"/>
      <c r="N33" s="7">
        <f>VLOOKUP($A33,Engine!$D:$Z,23,FALSE)</f>
        <v>1161</v>
      </c>
      <c r="O33" s="76"/>
    </row>
    <row r="34" spans="1:15" s="61" customFormat="1" x14ac:dyDescent="0.35">
      <c r="A34" s="68">
        <f t="shared" si="5"/>
        <v>20</v>
      </c>
      <c r="B34" s="7">
        <f t="shared" si="4"/>
        <v>20</v>
      </c>
      <c r="C34" s="69" t="str">
        <f>VLOOKUP($A34,Engine!$D:$H,2,FALSE)</f>
        <v>u</v>
      </c>
      <c r="D34" s="70" t="str">
        <f>VLOOKUP($A34,Engine!$D:$H,3,FALSE)</f>
        <v/>
      </c>
      <c r="E34" s="7" t="str">
        <f>VLOOKUP($A34,Engine!$D:$H,5,FALSE)</f>
        <v>gdadisho</v>
      </c>
      <c r="F34" s="71"/>
      <c r="G34" s="8">
        <f>L34-VLOOKUP($A34,Engine!$D:$S,15,FALSE)</f>
        <v>0</v>
      </c>
      <c r="H34" s="8">
        <f>N34-VLOOKUP($A34,Engine!$D:$S,16,FALSE)</f>
        <v>18</v>
      </c>
      <c r="I34" s="9"/>
      <c r="J34" s="8" t="str">
        <f>IF(VLOOKUP(E34,Engine!H:Q,10,FALSE)=0,"",VLOOKUP(E34,Engine!H:Q,10,FALSE))</f>
        <v>Storm</v>
      </c>
      <c r="K34" s="72" t="str">
        <f t="shared" si="3"/>
        <v/>
      </c>
      <c r="L34" s="7">
        <f>VLOOKUP($A34,Engine!$D:$Z,22,FALSE)</f>
        <v>30</v>
      </c>
      <c r="M34" s="71"/>
      <c r="N34" s="7">
        <f>VLOOKUP($A34,Engine!$D:$Z,23,FALSE)</f>
        <v>1182</v>
      </c>
      <c r="O34" s="76"/>
    </row>
    <row r="35" spans="1:15" s="61" customFormat="1" x14ac:dyDescent="0.35">
      <c r="A35" s="68">
        <f t="shared" si="5"/>
        <v>21</v>
      </c>
      <c r="B35" s="7">
        <f t="shared" si="4"/>
        <v>21</v>
      </c>
      <c r="C35" s="69" t="str">
        <f>VLOOKUP($A35,Engine!$D:$H,2,FALSE)</f>
        <v>p</v>
      </c>
      <c r="D35" s="70">
        <f>VLOOKUP($A35,Engine!$D:$H,3,FALSE)</f>
        <v>1</v>
      </c>
      <c r="E35" s="7" t="str">
        <f>VLOOKUP($A35,Engine!$D:$H,5,FALSE)</f>
        <v>Lou</v>
      </c>
      <c r="F35" s="71"/>
      <c r="G35" s="8">
        <f>L35-VLOOKUP($A35,Engine!$D:$S,15,FALSE)</f>
        <v>0</v>
      </c>
      <c r="H35" s="8">
        <f>N35-VLOOKUP($A35,Engine!$D:$S,16,FALSE)</f>
        <v>18</v>
      </c>
      <c r="I35" s="9"/>
      <c r="J35" s="8" t="str">
        <f>IF(VLOOKUP(E35,Engine!H:Q,10,FALSE)=0,"",VLOOKUP(E35,Engine!H:Q,10,FALSE))</f>
        <v>Storm</v>
      </c>
      <c r="K35" s="72" t="str">
        <f t="shared" si="3"/>
        <v/>
      </c>
      <c r="L35" s="7">
        <f>VLOOKUP($A35,Engine!$D:$Z,22,FALSE)</f>
        <v>30</v>
      </c>
      <c r="M35" s="71"/>
      <c r="N35" s="7">
        <f>VLOOKUP($A35,Engine!$D:$Z,23,FALSE)</f>
        <v>1159</v>
      </c>
      <c r="O35" s="76"/>
    </row>
    <row r="36" spans="1:15" s="61" customFormat="1" x14ac:dyDescent="0.35">
      <c r="A36" s="68">
        <f t="shared" si="5"/>
        <v>22</v>
      </c>
      <c r="B36" s="7">
        <f t="shared" si="4"/>
        <v>22</v>
      </c>
      <c r="C36" s="69" t="str">
        <f>VLOOKUP($A36,Engine!$D:$H,2,FALSE)</f>
        <v>q</v>
      </c>
      <c r="D36" s="70">
        <f>VLOOKUP($A36,Engine!$D:$H,3,FALSE)</f>
        <v>8</v>
      </c>
      <c r="E36" s="7" t="str">
        <f>VLOOKUP($A36,Engine!$D:$H,5,FALSE)</f>
        <v>MLC</v>
      </c>
      <c r="F36" s="71"/>
      <c r="G36" s="8">
        <f>L36-VLOOKUP($A36,Engine!$D:$S,15,FALSE)</f>
        <v>-2</v>
      </c>
      <c r="H36" s="8">
        <f>N36-VLOOKUP($A36,Engine!$D:$S,16,FALSE)</f>
        <v>18</v>
      </c>
      <c r="I36" s="9"/>
      <c r="J36" s="8" t="str">
        <f>IF(VLOOKUP(E36,Engine!H:Q,10,FALSE)=0,"",VLOOKUP(E36,Engine!H:Q,10,FALSE))</f>
        <v>Sea Eagles</v>
      </c>
      <c r="K36" s="72" t="str">
        <f t="shared" si="3"/>
        <v>û</v>
      </c>
      <c r="L36" s="7">
        <f>VLOOKUP($A36,Engine!$D:$Z,22,FALSE)</f>
        <v>29</v>
      </c>
      <c r="M36" s="71"/>
      <c r="N36" s="7">
        <f>VLOOKUP($A36,Engine!$D:$Z,23,FALSE)</f>
        <v>1250</v>
      </c>
      <c r="O36" s="76"/>
    </row>
    <row r="37" spans="1:15" s="61" customFormat="1" x14ac:dyDescent="0.35">
      <c r="A37" s="68">
        <f t="shared" si="5"/>
        <v>23</v>
      </c>
      <c r="B37" s="7">
        <f t="shared" si="4"/>
        <v>23</v>
      </c>
      <c r="C37" s="69" t="str">
        <f>VLOOKUP($A37,Engine!$D:$H,2,FALSE)</f>
        <v>p</v>
      </c>
      <c r="D37" s="70">
        <f>VLOOKUP($A37,Engine!$D:$H,3,FALSE)</f>
        <v>3</v>
      </c>
      <c r="E37" s="7" t="str">
        <f>VLOOKUP($A37,Engine!$D:$H,5,FALSE)</f>
        <v>UpthePamfers</v>
      </c>
      <c r="F37" s="71"/>
      <c r="G37" s="8">
        <f>L37-VLOOKUP($A37,Engine!$D:$S,15,FALSE)</f>
        <v>1</v>
      </c>
      <c r="H37" s="8">
        <f>N37-VLOOKUP($A37,Engine!$D:$S,16,FALSE)</f>
        <v>20</v>
      </c>
      <c r="I37" s="9"/>
      <c r="J37" s="8" t="str">
        <f>IF(VLOOKUP(E37,Engine!H:Q,10,FALSE)=0,"",VLOOKUP(E37,Engine!H:Q,10,FALSE))</f>
        <v>Storm</v>
      </c>
      <c r="K37" s="72" t="str">
        <f t="shared" si="3"/>
        <v/>
      </c>
      <c r="L37" s="7">
        <f>VLOOKUP($A37,Engine!$D:$Z,22,FALSE)</f>
        <v>29</v>
      </c>
      <c r="M37" s="71"/>
      <c r="N37" s="7">
        <f>VLOOKUP($A37,Engine!$D:$Z,23,FALSE)</f>
        <v>1209</v>
      </c>
      <c r="O37" s="76"/>
    </row>
    <row r="38" spans="1:15" s="61" customFormat="1" x14ac:dyDescent="0.35">
      <c r="A38" s="68">
        <f t="shared" si="5"/>
        <v>24</v>
      </c>
      <c r="B38" s="7">
        <f t="shared" si="4"/>
        <v>24</v>
      </c>
      <c r="C38" s="69" t="str">
        <f>VLOOKUP($A38,Engine!$D:$H,2,FALSE)</f>
        <v>q</v>
      </c>
      <c r="D38" s="70">
        <f>VLOOKUP($A38,Engine!$D:$H,3,FALSE)</f>
        <v>1</v>
      </c>
      <c r="E38" s="7" t="str">
        <f>VLOOKUP($A38,Engine!$D:$H,5,FALSE)</f>
        <v>Splinter</v>
      </c>
      <c r="F38" s="71"/>
      <c r="G38" s="8">
        <f>L38-VLOOKUP($A38,Engine!$D:$S,15,FALSE)</f>
        <v>0</v>
      </c>
      <c r="H38" s="8">
        <f>N38-VLOOKUP($A38,Engine!$D:$S,16,FALSE)</f>
        <v>18</v>
      </c>
      <c r="I38" s="9"/>
      <c r="J38" s="8" t="str">
        <f>IF(VLOOKUP(E38,Engine!H:Q,10,FALSE)=0,"",VLOOKUP(E38,Engine!H:Q,10,FALSE))</f>
        <v>Storm</v>
      </c>
      <c r="K38" s="72" t="str">
        <f t="shared" si="3"/>
        <v/>
      </c>
      <c r="L38" s="7">
        <f>VLOOKUP($A38,Engine!$D:$Z,22,FALSE)</f>
        <v>29</v>
      </c>
      <c r="M38" s="71"/>
      <c r="N38" s="7">
        <f>VLOOKUP($A38,Engine!$D:$Z,23,FALSE)</f>
        <v>1193</v>
      </c>
      <c r="O38" s="76"/>
    </row>
    <row r="39" spans="1:15" s="61" customFormat="1" x14ac:dyDescent="0.35">
      <c r="A39" s="68">
        <f t="shared" si="5"/>
        <v>25</v>
      </c>
      <c r="B39" s="7">
        <f t="shared" si="4"/>
        <v>25</v>
      </c>
      <c r="C39" s="69" t="str">
        <f>VLOOKUP($A39,Engine!$D:$H,2,FALSE)</f>
        <v>p</v>
      </c>
      <c r="D39" s="70">
        <f>VLOOKUP($A39,Engine!$D:$H,3,FALSE)</f>
        <v>2</v>
      </c>
      <c r="E39" s="7" t="str">
        <f>VLOOKUP($A39,Engine!$D:$H,5,FALSE)</f>
        <v>Carlos</v>
      </c>
      <c r="F39" s="71"/>
      <c r="G39" s="8">
        <f>L39-VLOOKUP($A39,Engine!$D:$S,15,FALSE)</f>
        <v>1</v>
      </c>
      <c r="H39" s="8">
        <f>N39-VLOOKUP($A39,Engine!$D:$S,16,FALSE)</f>
        <v>20</v>
      </c>
      <c r="I39" s="9"/>
      <c r="J39" s="8" t="str">
        <f>IF(VLOOKUP(E39,Engine!H:Q,10,FALSE)=0,"",VLOOKUP(E39,Engine!H:Q,10,FALSE))</f>
        <v>Storm</v>
      </c>
      <c r="K39" s="72" t="str">
        <f t="shared" si="3"/>
        <v/>
      </c>
      <c r="L39" s="7">
        <f>VLOOKUP($A39,Engine!$D:$Z,22,FALSE)</f>
        <v>29</v>
      </c>
      <c r="M39" s="71"/>
      <c r="N39" s="7">
        <f>VLOOKUP($A39,Engine!$D:$Z,23,FALSE)</f>
        <v>1185</v>
      </c>
      <c r="O39" s="76"/>
    </row>
    <row r="40" spans="1:15" s="61" customFormat="1" x14ac:dyDescent="0.35">
      <c r="A40" s="68">
        <f t="shared" si="5"/>
        <v>26</v>
      </c>
      <c r="B40" s="7">
        <f t="shared" si="4"/>
        <v>26</v>
      </c>
      <c r="C40" s="69" t="str">
        <f>VLOOKUP($A40,Engine!$D:$H,2,FALSE)</f>
        <v>p</v>
      </c>
      <c r="D40" s="70">
        <f>VLOOKUP($A40,Engine!$D:$H,3,FALSE)</f>
        <v>2</v>
      </c>
      <c r="E40" s="7" t="str">
        <f>VLOOKUP($A40,Engine!$D:$H,5,FALSE)</f>
        <v>Bridie</v>
      </c>
      <c r="F40" s="71"/>
      <c r="G40" s="8">
        <f>L40-VLOOKUP($A40,Engine!$D:$S,15,FALSE)</f>
        <v>1</v>
      </c>
      <c r="H40" s="8">
        <f>N40-VLOOKUP($A40,Engine!$D:$S,16,FALSE)</f>
        <v>20</v>
      </c>
      <c r="I40" s="9"/>
      <c r="J40" s="8" t="str">
        <f>IF(VLOOKUP(E40,Engine!H:Q,10,FALSE)=0,"",VLOOKUP(E40,Engine!H:Q,10,FALSE))</f>
        <v>Storm</v>
      </c>
      <c r="K40" s="72" t="str">
        <f t="shared" si="3"/>
        <v/>
      </c>
      <c r="L40" s="7">
        <f>VLOOKUP($A40,Engine!$D:$Z,22,FALSE)</f>
        <v>29</v>
      </c>
      <c r="M40" s="71"/>
      <c r="N40" s="7">
        <f>VLOOKUP($A40,Engine!$D:$Z,23,FALSE)</f>
        <v>1183</v>
      </c>
      <c r="O40" s="76"/>
    </row>
    <row r="41" spans="1:15" s="61" customFormat="1" x14ac:dyDescent="0.35">
      <c r="A41" s="68">
        <f t="shared" si="5"/>
        <v>27</v>
      </c>
      <c r="B41" s="7">
        <f t="shared" si="4"/>
        <v>27</v>
      </c>
      <c r="C41" s="69" t="str">
        <f>VLOOKUP($A41,Engine!$D:$H,2,FALSE)</f>
        <v>q</v>
      </c>
      <c r="D41" s="70">
        <f>VLOOKUP($A41,Engine!$D:$H,3,FALSE)</f>
        <v>3</v>
      </c>
      <c r="E41" s="7" t="str">
        <f>VLOOKUP($A41,Engine!$D:$H,5,FALSE)</f>
        <v>9986</v>
      </c>
      <c r="F41" s="71"/>
      <c r="G41" s="8">
        <f>L41-VLOOKUP($A41,Engine!$D:$S,15,FALSE)</f>
        <v>0</v>
      </c>
      <c r="H41" s="8">
        <f>N41-VLOOKUP($A41,Engine!$D:$S,16,FALSE)</f>
        <v>18</v>
      </c>
      <c r="I41" s="9"/>
      <c r="J41" s="8" t="str">
        <f>IF(VLOOKUP(E41,Engine!H:Q,10,FALSE)=0,"",VLOOKUP(E41,Engine!H:Q,10,FALSE))</f>
        <v>Storm</v>
      </c>
      <c r="K41" s="72" t="str">
        <f t="shared" si="3"/>
        <v/>
      </c>
      <c r="L41" s="7">
        <f>VLOOKUP($A41,Engine!$D:$Z,22,FALSE)</f>
        <v>29</v>
      </c>
      <c r="M41" s="71"/>
      <c r="N41" s="7">
        <f>VLOOKUP($A41,Engine!$D:$Z,23,FALSE)</f>
        <v>1175</v>
      </c>
      <c r="O41" s="76"/>
    </row>
    <row r="42" spans="1:15" s="61" customFormat="1" x14ac:dyDescent="0.35">
      <c r="A42" s="68">
        <f t="shared" si="5"/>
        <v>28</v>
      </c>
      <c r="B42" s="7">
        <f t="shared" si="4"/>
        <v>28</v>
      </c>
      <c r="C42" s="69" t="str">
        <f>VLOOKUP($A42,Engine!$D:$H,2,FALSE)</f>
        <v>q</v>
      </c>
      <c r="D42" s="70">
        <f>VLOOKUP($A42,Engine!$D:$H,3,FALSE)</f>
        <v>3</v>
      </c>
      <c r="E42" s="7" t="str">
        <f>VLOOKUP($A42,Engine!$D:$H,5,FALSE)</f>
        <v>MJP181</v>
      </c>
      <c r="F42" s="71"/>
      <c r="G42" s="8">
        <f>L42-VLOOKUP($A42,Engine!$D:$S,15,FALSE)</f>
        <v>0</v>
      </c>
      <c r="H42" s="8">
        <f>N42-VLOOKUP($A42,Engine!$D:$S,16,FALSE)</f>
        <v>18</v>
      </c>
      <c r="I42" s="9"/>
      <c r="J42" s="8" t="str">
        <f>IF(VLOOKUP(E42,Engine!H:Q,10,FALSE)=0,"",VLOOKUP(E42,Engine!H:Q,10,FALSE))</f>
        <v>Storm</v>
      </c>
      <c r="K42" s="72" t="str">
        <f t="shared" si="3"/>
        <v/>
      </c>
      <c r="L42" s="7">
        <f>VLOOKUP($A42,Engine!$D:$Z,22,FALSE)</f>
        <v>29</v>
      </c>
      <c r="M42" s="71"/>
      <c r="N42" s="7">
        <f>VLOOKUP($A42,Engine!$D:$Z,23,FALSE)</f>
        <v>1173</v>
      </c>
      <c r="O42" s="76"/>
    </row>
    <row r="43" spans="1:15" s="61" customFormat="1" x14ac:dyDescent="0.35">
      <c r="A43" s="68">
        <f t="shared" si="5"/>
        <v>29</v>
      </c>
      <c r="B43" s="7">
        <f t="shared" si="4"/>
        <v>29</v>
      </c>
      <c r="C43" s="69" t="str">
        <f>VLOOKUP($A43,Engine!$D:$H,2,FALSE)</f>
        <v>p</v>
      </c>
      <c r="D43" s="70">
        <f>VLOOKUP($A43,Engine!$D:$H,3,FALSE)</f>
        <v>3</v>
      </c>
      <c r="E43" s="7" t="str">
        <f>VLOOKUP($A43,Engine!$D:$H,5,FALSE)</f>
        <v>Chunka</v>
      </c>
      <c r="F43" s="71"/>
      <c r="G43" s="8">
        <f>L43-VLOOKUP($A43,Engine!$D:$S,15,FALSE)</f>
        <v>1</v>
      </c>
      <c r="H43" s="8">
        <f>N43-VLOOKUP($A43,Engine!$D:$S,16,FALSE)</f>
        <v>20</v>
      </c>
      <c r="I43" s="9"/>
      <c r="J43" s="8" t="str">
        <f>IF(VLOOKUP(E43,Engine!H:Q,10,FALSE)=0,"",VLOOKUP(E43,Engine!H:Q,10,FALSE))</f>
        <v>Bulldogs</v>
      </c>
      <c r="K43" s="72" t="str">
        <f t="shared" si="3"/>
        <v/>
      </c>
      <c r="L43" s="7">
        <f>VLOOKUP($A43,Engine!$D:$Z,22,FALSE)</f>
        <v>28</v>
      </c>
      <c r="M43" s="71"/>
      <c r="N43" s="7">
        <f>VLOOKUP($A43,Engine!$D:$Z,23,FALSE)</f>
        <v>1207</v>
      </c>
      <c r="O43" s="76"/>
    </row>
    <row r="44" spans="1:15" s="61" customFormat="1" x14ac:dyDescent="0.35">
      <c r="A44" s="68">
        <f t="shared" si="5"/>
        <v>30</v>
      </c>
      <c r="B44" s="7">
        <f t="shared" si="4"/>
        <v>30</v>
      </c>
      <c r="C44" s="69" t="str">
        <f>VLOOKUP($A44,Engine!$D:$H,2,FALSE)</f>
        <v>p</v>
      </c>
      <c r="D44" s="70">
        <f>VLOOKUP($A44,Engine!$D:$H,3,FALSE)</f>
        <v>4</v>
      </c>
      <c r="E44" s="7" t="str">
        <f>VLOOKUP($A44,Engine!$D:$H,5,FALSE)</f>
        <v>Cruella</v>
      </c>
      <c r="F44" s="71"/>
      <c r="G44" s="8">
        <f>L44-VLOOKUP($A44,Engine!$D:$S,15,FALSE)</f>
        <v>1</v>
      </c>
      <c r="H44" s="8">
        <f>N44-VLOOKUP($A44,Engine!$D:$S,16,FALSE)</f>
        <v>20</v>
      </c>
      <c r="I44" s="9"/>
      <c r="J44" s="8" t="str">
        <f>IF(VLOOKUP(E44,Engine!H:Q,10,FALSE)=0,"",VLOOKUP(E44,Engine!H:Q,10,FALSE))</f>
        <v>Storm</v>
      </c>
      <c r="K44" s="72" t="str">
        <f t="shared" si="3"/>
        <v/>
      </c>
      <c r="L44" s="7">
        <f>VLOOKUP($A44,Engine!$D:$Z,22,FALSE)</f>
        <v>28</v>
      </c>
      <c r="M44" s="71"/>
      <c r="N44" s="7">
        <f>VLOOKUP($A44,Engine!$D:$Z,23,FALSE)</f>
        <v>1186</v>
      </c>
      <c r="O44" s="76"/>
    </row>
    <row r="45" spans="1:15" s="61" customFormat="1" x14ac:dyDescent="0.35">
      <c r="A45" s="68">
        <f t="shared" si="5"/>
        <v>31</v>
      </c>
      <c r="B45" s="7">
        <f t="shared" si="4"/>
        <v>31</v>
      </c>
      <c r="C45" s="69" t="str">
        <f>VLOOKUP($A45,Engine!$D:$H,2,FALSE)</f>
        <v>u</v>
      </c>
      <c r="D45" s="70" t="str">
        <f>VLOOKUP($A45,Engine!$D:$H,3,FALSE)</f>
        <v/>
      </c>
      <c r="E45" s="7" t="str">
        <f>VLOOKUP($A45,Engine!$D:$H,5,FALSE)</f>
        <v>Micrider</v>
      </c>
      <c r="F45" s="71"/>
      <c r="G45" s="8">
        <f>L45-VLOOKUP($A45,Engine!$D:$S,15,FALSE)</f>
        <v>0</v>
      </c>
      <c r="H45" s="8">
        <f>N45-VLOOKUP($A45,Engine!$D:$S,16,FALSE)</f>
        <v>18</v>
      </c>
      <c r="I45" s="9"/>
      <c r="J45" s="8" t="str">
        <f>IF(VLOOKUP(E45,Engine!H:Q,10,FALSE)=0,"",VLOOKUP(E45,Engine!H:Q,10,FALSE))</f>
        <v>Storm</v>
      </c>
      <c r="K45" s="72" t="str">
        <f t="shared" si="3"/>
        <v/>
      </c>
      <c r="L45" s="7">
        <f>VLOOKUP($A45,Engine!$D:$Z,22,FALSE)</f>
        <v>28</v>
      </c>
      <c r="M45" s="71"/>
      <c r="N45" s="7">
        <f>VLOOKUP($A45,Engine!$D:$Z,23,FALSE)</f>
        <v>1105</v>
      </c>
      <c r="O45" s="76"/>
    </row>
    <row r="46" spans="1:15" s="61" customFormat="1" x14ac:dyDescent="0.35">
      <c r="A46" s="68">
        <f t="shared" si="5"/>
        <v>32</v>
      </c>
      <c r="B46" s="7">
        <f t="shared" si="4"/>
        <v>32</v>
      </c>
      <c r="C46" s="69" t="str">
        <f>VLOOKUP($A46,Engine!$D:$H,2,FALSE)</f>
        <v>p</v>
      </c>
      <c r="D46" s="70">
        <f>VLOOKUP($A46,Engine!$D:$H,3,FALSE)</f>
        <v>1</v>
      </c>
      <c r="E46" s="7" t="str">
        <f>VLOOKUP($A46,Engine!$D:$H,5,FALSE)</f>
        <v>Guru2810</v>
      </c>
      <c r="F46" s="71"/>
      <c r="G46" s="8">
        <f>L46-VLOOKUP($A46,Engine!$D:$S,15,FALSE)</f>
        <v>0</v>
      </c>
      <c r="H46" s="8">
        <f>N46-VLOOKUP($A46,Engine!$D:$S,16,FALSE)</f>
        <v>18</v>
      </c>
      <c r="I46" s="9"/>
      <c r="J46" s="8" t="str">
        <f>IF(VLOOKUP(E46,Engine!H:Q,10,FALSE)=0,"",VLOOKUP(E46,Engine!H:Q,10,FALSE))</f>
        <v>Storm</v>
      </c>
      <c r="K46" s="72" t="str">
        <f t="shared" si="3"/>
        <v/>
      </c>
      <c r="L46" s="7">
        <f>VLOOKUP($A46,Engine!$D:$Z,22,FALSE)</f>
        <v>27</v>
      </c>
      <c r="M46" s="71"/>
      <c r="N46" s="7">
        <f>VLOOKUP($A46,Engine!$D:$Z,23,FALSE)</f>
        <v>1187</v>
      </c>
      <c r="O46" s="76"/>
    </row>
    <row r="47" spans="1:15" s="61" customFormat="1" x14ac:dyDescent="0.35">
      <c r="A47" s="68">
        <f t="shared" si="5"/>
        <v>33</v>
      </c>
      <c r="B47" s="7">
        <f t="shared" ref="B47:B72" si="6">A47</f>
        <v>33</v>
      </c>
      <c r="C47" s="69" t="str">
        <f>VLOOKUP($A47,Engine!$D:$H,2,FALSE)</f>
        <v>p</v>
      </c>
      <c r="D47" s="70">
        <f>VLOOKUP($A47,Engine!$D:$H,3,FALSE)</f>
        <v>2</v>
      </c>
      <c r="E47" s="7" t="str">
        <f>VLOOKUP($A47,Engine!$D:$H,5,FALSE)</f>
        <v>Stallion</v>
      </c>
      <c r="F47" s="71"/>
      <c r="G47" s="8">
        <f>L47-VLOOKUP($A47,Engine!$D:$S,15,FALSE)</f>
        <v>0</v>
      </c>
      <c r="H47" s="8">
        <f>N47-VLOOKUP($A47,Engine!$D:$S,16,FALSE)</f>
        <v>18</v>
      </c>
      <c r="I47" s="9"/>
      <c r="J47" s="8" t="str">
        <f>IF(VLOOKUP(E47,Engine!H:Q,10,FALSE)=0,"",VLOOKUP(E47,Engine!H:Q,10,FALSE))</f>
        <v>Storm</v>
      </c>
      <c r="K47" s="72" t="str">
        <f t="shared" ref="K47:K72" si="7">IF(COUNTIF(P$4:P$11,J47)=1,R$6,IF(COUNTIF(Q$4:Q$11,J47)=1,R$7,""))</f>
        <v/>
      </c>
      <c r="L47" s="7">
        <f>VLOOKUP($A47,Engine!$D:$Z,22,FALSE)</f>
        <v>27</v>
      </c>
      <c r="M47" s="71"/>
      <c r="N47" s="7">
        <f>VLOOKUP($A47,Engine!$D:$Z,23,FALSE)</f>
        <v>1179</v>
      </c>
      <c r="O47" s="74"/>
    </row>
    <row r="48" spans="1:15" s="61" customFormat="1" x14ac:dyDescent="0.35">
      <c r="A48" s="68">
        <f t="shared" si="5"/>
        <v>34</v>
      </c>
      <c r="B48" s="7">
        <f t="shared" si="6"/>
        <v>34</v>
      </c>
      <c r="C48" s="69" t="str">
        <f>VLOOKUP($A48,Engine!$D:$H,2,FALSE)</f>
        <v>p</v>
      </c>
      <c r="D48" s="70">
        <f>VLOOKUP($A48,Engine!$D:$H,3,FALSE)</f>
        <v>2</v>
      </c>
      <c r="E48" s="7" t="str">
        <f>VLOOKUP($A48,Engine!$D:$H,5,FALSE)</f>
        <v>I miss Benji</v>
      </c>
      <c r="F48" s="71"/>
      <c r="G48" s="8">
        <f>L48-VLOOKUP($A48,Engine!$D:$S,15,FALSE)</f>
        <v>0</v>
      </c>
      <c r="H48" s="8">
        <f>N48-VLOOKUP($A48,Engine!$D:$S,16,FALSE)</f>
        <v>18</v>
      </c>
      <c r="I48" s="9"/>
      <c r="J48" s="8" t="str">
        <f>IF(VLOOKUP(E48,Engine!H:Q,10,FALSE)=0,"",VLOOKUP(E48,Engine!H:Q,10,FALSE))</f>
        <v>Storm</v>
      </c>
      <c r="K48" s="72" t="str">
        <f t="shared" si="7"/>
        <v/>
      </c>
      <c r="L48" s="7">
        <f>VLOOKUP($A48,Engine!$D:$Z,22,FALSE)</f>
        <v>27</v>
      </c>
      <c r="M48" s="71"/>
      <c r="N48" s="7">
        <f>VLOOKUP($A48,Engine!$D:$Z,23,FALSE)</f>
        <v>1135</v>
      </c>
      <c r="O48" s="74"/>
    </row>
    <row r="49" spans="1:14" s="61" customFormat="1" x14ac:dyDescent="0.35">
      <c r="A49" s="68">
        <f t="shared" si="5"/>
        <v>35</v>
      </c>
      <c r="B49" s="7">
        <f t="shared" si="6"/>
        <v>35</v>
      </c>
      <c r="C49" s="69" t="str">
        <f>VLOOKUP($A49,Engine!$D:$H,2,FALSE)</f>
        <v>q</v>
      </c>
      <c r="D49" s="70">
        <f>VLOOKUP($A49,Engine!$D:$H,3,FALSE)</f>
        <v>6</v>
      </c>
      <c r="E49" s="7" t="str">
        <f>VLOOKUP($A49,Engine!$D:$H,5,FALSE)</f>
        <v>Runner</v>
      </c>
      <c r="F49" s="71"/>
      <c r="G49" s="8">
        <f>L49-VLOOKUP($A49,Engine!$D:$S,15,FALSE)</f>
        <v>-2</v>
      </c>
      <c r="H49" s="8">
        <f>N49-VLOOKUP($A49,Engine!$D:$S,16,FALSE)</f>
        <v>18</v>
      </c>
      <c r="I49" s="9"/>
      <c r="J49" s="8" t="str">
        <f>IF(VLOOKUP(E49,Engine!H:Q,10,FALSE)=0,"",VLOOKUP(E49,Engine!H:Q,10,FALSE))</f>
        <v>Sea Eagles</v>
      </c>
      <c r="K49" s="72" t="str">
        <f t="shared" si="7"/>
        <v>û</v>
      </c>
      <c r="L49" s="7">
        <f>VLOOKUP($A49,Engine!$D:$Z,22,FALSE)</f>
        <v>26</v>
      </c>
      <c r="M49" s="71"/>
      <c r="N49" s="7">
        <f>VLOOKUP($A49,Engine!$D:$Z,23,FALSE)</f>
        <v>1181</v>
      </c>
    </row>
    <row r="50" spans="1:14" s="61" customFormat="1" x14ac:dyDescent="0.35">
      <c r="A50" s="68">
        <f t="shared" si="5"/>
        <v>36</v>
      </c>
      <c r="B50" s="7">
        <f t="shared" si="6"/>
        <v>36</v>
      </c>
      <c r="C50" s="69" t="str">
        <f>VLOOKUP($A50,Engine!$D:$H,2,FALSE)</f>
        <v>p</v>
      </c>
      <c r="D50" s="70">
        <f>VLOOKUP($A50,Engine!$D:$H,3,FALSE)</f>
        <v>1</v>
      </c>
      <c r="E50" s="7" t="str">
        <f>VLOOKUP($A50,Engine!$D:$H,5,FALSE)</f>
        <v>Neville</v>
      </c>
      <c r="F50" s="71"/>
      <c r="G50" s="8">
        <f>L50-VLOOKUP($A50,Engine!$D:$S,15,FALSE)</f>
        <v>0</v>
      </c>
      <c r="H50" s="8">
        <f>N50-VLOOKUP($A50,Engine!$D:$S,16,FALSE)</f>
        <v>18</v>
      </c>
      <c r="I50" s="9"/>
      <c r="J50" s="8" t="str">
        <f>IF(VLOOKUP(E50,Engine!H:Q,10,FALSE)=0,"",VLOOKUP(E50,Engine!H:Q,10,FALSE))</f>
        <v>Storm</v>
      </c>
      <c r="K50" s="72" t="str">
        <f t="shared" si="7"/>
        <v/>
      </c>
      <c r="L50" s="7">
        <f>VLOOKUP($A50,Engine!$D:$Z,22,FALSE)</f>
        <v>26</v>
      </c>
      <c r="M50" s="71"/>
      <c r="N50" s="7">
        <f>VLOOKUP($A50,Engine!$D:$Z,23,FALSE)</f>
        <v>1166</v>
      </c>
    </row>
    <row r="51" spans="1:14" s="61" customFormat="1" x14ac:dyDescent="0.35">
      <c r="A51" s="68">
        <f t="shared" si="5"/>
        <v>37</v>
      </c>
      <c r="B51" s="7">
        <f t="shared" si="6"/>
        <v>37</v>
      </c>
      <c r="C51" s="69" t="str">
        <f>VLOOKUP($A51,Engine!$D:$H,2,FALSE)</f>
        <v>q</v>
      </c>
      <c r="D51" s="70">
        <f>VLOOKUP($A51,Engine!$D:$H,3,FALSE)</f>
        <v>7</v>
      </c>
      <c r="E51" s="7" t="str">
        <f>VLOOKUP($A51,Engine!$D:$H,5,FALSE)</f>
        <v>Bart Simpson</v>
      </c>
      <c r="F51" s="71"/>
      <c r="G51" s="8">
        <f>L51-VLOOKUP($A51,Engine!$D:$S,15,FALSE)</f>
        <v>-2</v>
      </c>
      <c r="H51" s="8">
        <f>N51-VLOOKUP($A51,Engine!$D:$S,16,FALSE)</f>
        <v>18</v>
      </c>
      <c r="I51" s="9"/>
      <c r="J51" s="8" t="str">
        <f>IF(VLOOKUP(E51,Engine!H:Q,10,FALSE)=0,"",VLOOKUP(E51,Engine!H:Q,10,FALSE))</f>
        <v>Sea Eagles</v>
      </c>
      <c r="K51" s="72" t="str">
        <f t="shared" si="7"/>
        <v>û</v>
      </c>
      <c r="L51" s="7">
        <f>VLOOKUP($A51,Engine!$D:$Z,22,FALSE)</f>
        <v>26</v>
      </c>
      <c r="M51" s="71"/>
      <c r="N51" s="7">
        <f>VLOOKUP($A51,Engine!$D:$Z,23,FALSE)</f>
        <v>1156</v>
      </c>
    </row>
    <row r="52" spans="1:14" s="61" customFormat="1" x14ac:dyDescent="0.35">
      <c r="A52" s="68">
        <f t="shared" si="5"/>
        <v>38</v>
      </c>
      <c r="B52" s="7">
        <f t="shared" si="6"/>
        <v>38</v>
      </c>
      <c r="C52" s="69" t="str">
        <f>VLOOKUP($A52,Engine!$D:$H,2,FALSE)</f>
        <v>u</v>
      </c>
      <c r="D52" s="70" t="str">
        <f>VLOOKUP($A52,Engine!$D:$H,3,FALSE)</f>
        <v/>
      </c>
      <c r="E52" s="7" t="str">
        <f>VLOOKUP($A52,Engine!$D:$H,5,FALSE)</f>
        <v>Budgie</v>
      </c>
      <c r="F52" s="71"/>
      <c r="G52" s="8">
        <f>L52-VLOOKUP($A52,Engine!$D:$S,15,FALSE)</f>
        <v>0</v>
      </c>
      <c r="H52" s="8">
        <f>N52-VLOOKUP($A52,Engine!$D:$S,16,FALSE)</f>
        <v>18</v>
      </c>
      <c r="I52" s="9"/>
      <c r="J52" s="8" t="str">
        <f>IF(VLOOKUP(E52,Engine!H:Q,10,FALSE)=0,"",VLOOKUP(E52,Engine!H:Q,10,FALSE))</f>
        <v>Bulldogs</v>
      </c>
      <c r="K52" s="72" t="str">
        <f t="shared" si="7"/>
        <v/>
      </c>
      <c r="L52" s="7">
        <f>VLOOKUP($A52,Engine!$D:$Z,22,FALSE)</f>
        <v>25</v>
      </c>
      <c r="M52" s="71"/>
      <c r="N52" s="7">
        <f>VLOOKUP($A52,Engine!$D:$Z,23,FALSE)</f>
        <v>1209</v>
      </c>
    </row>
    <row r="53" spans="1:14" s="61" customFormat="1" x14ac:dyDescent="0.35">
      <c r="A53" s="68">
        <f t="shared" si="5"/>
        <v>39</v>
      </c>
      <c r="B53" s="7">
        <f t="shared" si="6"/>
        <v>39</v>
      </c>
      <c r="C53" s="69" t="str">
        <f>VLOOKUP($A53,Engine!$D:$H,2,FALSE)</f>
        <v>p</v>
      </c>
      <c r="D53" s="70">
        <f>VLOOKUP($A53,Engine!$D:$H,3,FALSE)</f>
        <v>2</v>
      </c>
      <c r="E53" s="7" t="str">
        <f>VLOOKUP($A53,Engine!$D:$H,5,FALSE)</f>
        <v>GeorgeTheDragon</v>
      </c>
      <c r="F53" s="71"/>
      <c r="G53" s="8">
        <f>L53-VLOOKUP($A53,Engine!$D:$S,15,FALSE)</f>
        <v>1</v>
      </c>
      <c r="H53" s="8">
        <f>N53-VLOOKUP($A53,Engine!$D:$S,16,FALSE)</f>
        <v>20</v>
      </c>
      <c r="I53" s="9"/>
      <c r="J53" s="8" t="str">
        <f>IF(VLOOKUP(E53,Engine!H:Q,10,FALSE)=0,"",VLOOKUP(E53,Engine!H:Q,10,FALSE))</f>
        <v>Broncos</v>
      </c>
      <c r="K53" s="72" t="str">
        <f t="shared" si="7"/>
        <v/>
      </c>
      <c r="L53" s="7">
        <f>VLOOKUP($A53,Engine!$D:$Z,22,FALSE)</f>
        <v>25</v>
      </c>
      <c r="M53" s="71"/>
      <c r="N53" s="7">
        <f>VLOOKUP($A53,Engine!$D:$Z,23,FALSE)</f>
        <v>1182</v>
      </c>
    </row>
    <row r="54" spans="1:14" x14ac:dyDescent="0.35">
      <c r="A54" s="68">
        <f t="shared" si="5"/>
        <v>40</v>
      </c>
      <c r="B54" s="7">
        <f t="shared" si="6"/>
        <v>40</v>
      </c>
      <c r="C54" s="69" t="str">
        <f>VLOOKUP($A54,Engine!$D:$H,2,FALSE)</f>
        <v>u</v>
      </c>
      <c r="D54" s="70" t="str">
        <f>VLOOKUP($A54,Engine!$D:$H,3,FALSE)</f>
        <v/>
      </c>
      <c r="E54" s="7" t="str">
        <f>VLOOKUP($A54,Engine!$D:$H,5,FALSE)</f>
        <v>Yackas</v>
      </c>
      <c r="F54" s="71"/>
      <c r="G54" s="8">
        <f>L54-VLOOKUP($A54,Engine!$D:$S,15,FALSE)</f>
        <v>0</v>
      </c>
      <c r="H54" s="8">
        <f>N54-VLOOKUP($A54,Engine!$D:$S,16,FALSE)</f>
        <v>18</v>
      </c>
      <c r="I54" s="9"/>
      <c r="J54" s="8" t="str">
        <f>IF(VLOOKUP(E54,Engine!H:Q,10,FALSE)=0,"",VLOOKUP(E54,Engine!H:Q,10,FALSE))</f>
        <v>Storm</v>
      </c>
      <c r="K54" s="72" t="str">
        <f t="shared" si="7"/>
        <v/>
      </c>
      <c r="L54" s="7">
        <f>VLOOKUP($A54,Engine!$D:$Z,22,FALSE)</f>
        <v>25</v>
      </c>
      <c r="M54" s="71"/>
      <c r="N54" s="7">
        <f>VLOOKUP($A54,Engine!$D:$Z,23,FALSE)</f>
        <v>1063</v>
      </c>
    </row>
    <row r="55" spans="1:14" x14ac:dyDescent="0.35">
      <c r="A55" s="68">
        <f t="shared" si="5"/>
        <v>41</v>
      </c>
      <c r="B55" s="7">
        <f t="shared" si="6"/>
        <v>41</v>
      </c>
      <c r="C55" s="69" t="str">
        <f>VLOOKUP($A55,Engine!$D:$H,2,FALSE)</f>
        <v>p</v>
      </c>
      <c r="D55" s="70">
        <f>VLOOKUP($A55,Engine!$D:$H,3,FALSE)</f>
        <v>2</v>
      </c>
      <c r="E55" s="7" t="str">
        <f>VLOOKUP($A55,Engine!$D:$H,5,FALSE)</f>
        <v>Pablo</v>
      </c>
      <c r="F55" s="71"/>
      <c r="G55" s="8">
        <f>L55-VLOOKUP($A55,Engine!$D:$S,15,FALSE)</f>
        <v>1</v>
      </c>
      <c r="H55" s="8">
        <f>N55-VLOOKUP($A55,Engine!$D:$S,16,FALSE)</f>
        <v>20</v>
      </c>
      <c r="I55" s="9"/>
      <c r="J55" s="8" t="str">
        <f>IF(VLOOKUP(E55,Engine!H:Q,10,FALSE)=0,"",VLOOKUP(E55,Engine!H:Q,10,FALSE))</f>
        <v>Storm</v>
      </c>
      <c r="K55" s="72" t="str">
        <f t="shared" si="7"/>
        <v/>
      </c>
      <c r="L55" s="7">
        <f>VLOOKUP($A55,Engine!$D:$Z,22,FALSE)</f>
        <v>24</v>
      </c>
      <c r="M55" s="71"/>
      <c r="N55" s="7">
        <f>VLOOKUP($A55,Engine!$D:$Z,23,FALSE)</f>
        <v>1233</v>
      </c>
    </row>
    <row r="56" spans="1:14" x14ac:dyDescent="0.35">
      <c r="A56" s="68">
        <f t="shared" si="5"/>
        <v>42</v>
      </c>
      <c r="B56" s="7">
        <f t="shared" si="6"/>
        <v>42</v>
      </c>
      <c r="C56" s="69" t="str">
        <f>VLOOKUP($A56,Engine!$D:$H,2,FALSE)</f>
        <v>u</v>
      </c>
      <c r="D56" s="70" t="str">
        <f>VLOOKUP($A56,Engine!$D:$H,3,FALSE)</f>
        <v/>
      </c>
      <c r="E56" s="7" t="str">
        <f>VLOOKUP($A56,Engine!$D:$H,5,FALSE)</f>
        <v>Admireel</v>
      </c>
      <c r="F56" s="71"/>
      <c r="G56" s="8">
        <f>L56-VLOOKUP($A56,Engine!$D:$S,15,FALSE)</f>
        <v>0</v>
      </c>
      <c r="H56" s="8">
        <f>N56-VLOOKUP($A56,Engine!$D:$S,16,FALSE)</f>
        <v>18</v>
      </c>
      <c r="I56" s="9"/>
      <c r="J56" s="8" t="str">
        <f>IF(VLOOKUP(E56,Engine!H:Q,10,FALSE)=0,"",VLOOKUP(E56,Engine!H:Q,10,FALSE))</f>
        <v>Storm</v>
      </c>
      <c r="K56" s="72" t="str">
        <f t="shared" si="7"/>
        <v/>
      </c>
      <c r="L56" s="7">
        <f>VLOOKUP($A56,Engine!$D:$Z,22,FALSE)</f>
        <v>24</v>
      </c>
      <c r="M56" s="71"/>
      <c r="N56" s="7">
        <f>VLOOKUP($A56,Engine!$D:$Z,23,FALSE)</f>
        <v>1179</v>
      </c>
    </row>
    <row r="57" spans="1:14" x14ac:dyDescent="0.35">
      <c r="A57" s="68">
        <f t="shared" si="5"/>
        <v>43</v>
      </c>
      <c r="B57" s="7">
        <f t="shared" si="6"/>
        <v>43</v>
      </c>
      <c r="C57" s="69" t="str">
        <f>VLOOKUP($A57,Engine!$D:$H,2,FALSE)</f>
        <v>p</v>
      </c>
      <c r="D57" s="70">
        <f>VLOOKUP($A57,Engine!$D:$H,3,FALSE)</f>
        <v>1</v>
      </c>
      <c r="E57" s="7" t="str">
        <f>VLOOKUP($A57,Engine!$D:$H,5,FALSE)</f>
        <v>Timbo</v>
      </c>
      <c r="F57" s="71"/>
      <c r="G57" s="8">
        <f>L57-VLOOKUP($A57,Engine!$D:$S,15,FALSE)</f>
        <v>0</v>
      </c>
      <c r="H57" s="8">
        <f>N57-VLOOKUP($A57,Engine!$D:$S,16,FALSE)</f>
        <v>18</v>
      </c>
      <c r="I57" s="9"/>
      <c r="J57" s="8" t="str">
        <f>IF(VLOOKUP(E57,Engine!H:Q,10,FALSE)=0,"",VLOOKUP(E57,Engine!H:Q,10,FALSE))</f>
        <v>Wests Tigers</v>
      </c>
      <c r="K57" s="72" t="str">
        <f t="shared" si="7"/>
        <v/>
      </c>
      <c r="L57" s="7">
        <f>VLOOKUP($A57,Engine!$D:$Z,22,FALSE)</f>
        <v>23</v>
      </c>
      <c r="M57" s="71"/>
      <c r="N57" s="7">
        <f>VLOOKUP($A57,Engine!$D:$Z,23,FALSE)</f>
        <v>1141</v>
      </c>
    </row>
    <row r="58" spans="1:14" x14ac:dyDescent="0.35">
      <c r="A58" s="68">
        <f t="shared" si="5"/>
        <v>44</v>
      </c>
      <c r="B58" s="7">
        <f t="shared" si="6"/>
        <v>44</v>
      </c>
      <c r="C58" s="69" t="str">
        <f>VLOOKUP($A58,Engine!$D:$H,2,FALSE)</f>
        <v>q</v>
      </c>
      <c r="D58" s="70">
        <f>VLOOKUP($A58,Engine!$D:$H,3,FALSE)</f>
        <v>5</v>
      </c>
      <c r="E58" s="7" t="str">
        <f>VLOOKUP($A58,Engine!$D:$H,5,FALSE)</f>
        <v>***Footy Tipper***</v>
      </c>
      <c r="F58" s="71"/>
      <c r="G58" s="8">
        <f>L58-VLOOKUP($A58,Engine!$D:$S,15,FALSE)</f>
        <v>-2</v>
      </c>
      <c r="H58" s="8">
        <f>N58-VLOOKUP($A58,Engine!$D:$S,16,FALSE)</f>
        <v>18</v>
      </c>
      <c r="I58" s="9"/>
      <c r="J58" s="8" t="str">
        <f>IF(VLOOKUP(E58,Engine!H:Q,10,FALSE)=0,"",VLOOKUP(E58,Engine!H:Q,10,FALSE))</f>
        <v>Sea Eagles</v>
      </c>
      <c r="K58" s="72" t="str">
        <f t="shared" si="7"/>
        <v>û</v>
      </c>
      <c r="L58" s="7">
        <f>VLOOKUP($A58,Engine!$D:$Z,22,FALSE)</f>
        <v>23</v>
      </c>
      <c r="M58" s="71"/>
      <c r="N58" s="7">
        <f>VLOOKUP($A58,Engine!$D:$Z,23,FALSE)</f>
        <v>1104</v>
      </c>
    </row>
    <row r="59" spans="1:14" x14ac:dyDescent="0.35">
      <c r="A59" s="68">
        <f t="shared" si="5"/>
        <v>45</v>
      </c>
      <c r="B59" s="7">
        <f t="shared" si="6"/>
        <v>45</v>
      </c>
      <c r="C59" s="69" t="str">
        <f>VLOOKUP($A59,Engine!$D:$H,2,FALSE)</f>
        <v>p</v>
      </c>
      <c r="D59" s="70">
        <f>VLOOKUP($A59,Engine!$D:$H,3,FALSE)</f>
        <v>1</v>
      </c>
      <c r="E59" s="7" t="str">
        <f>VLOOKUP($A59,Engine!$D:$H,5,FALSE)</f>
        <v>Adel Messih</v>
      </c>
      <c r="F59" s="71"/>
      <c r="G59" s="8">
        <f>L59-VLOOKUP($A59,Engine!$D:$S,15,FALSE)</f>
        <v>0</v>
      </c>
      <c r="H59" s="8">
        <f>N59-VLOOKUP($A59,Engine!$D:$S,16,FALSE)</f>
        <v>18</v>
      </c>
      <c r="I59" s="9"/>
      <c r="J59" s="8" t="str">
        <f>IF(VLOOKUP(E59,Engine!H:Q,10,FALSE)=0,"",VLOOKUP(E59,Engine!H:Q,10,FALSE))</f>
        <v>Storm</v>
      </c>
      <c r="K59" s="72" t="str">
        <f t="shared" si="7"/>
        <v/>
      </c>
      <c r="L59" s="7">
        <f>VLOOKUP($A59,Engine!$D:$Z,22,FALSE)</f>
        <v>22</v>
      </c>
      <c r="M59" s="71"/>
      <c r="N59" s="7">
        <f>VLOOKUP($A59,Engine!$D:$Z,23,FALSE)</f>
        <v>1210</v>
      </c>
    </row>
    <row r="60" spans="1:14" x14ac:dyDescent="0.35">
      <c r="A60" s="68">
        <f t="shared" si="5"/>
        <v>46</v>
      </c>
      <c r="B60" s="7">
        <f t="shared" si="6"/>
        <v>46</v>
      </c>
      <c r="C60" s="69" t="str">
        <f>VLOOKUP($A60,Engine!$D:$H,2,FALSE)</f>
        <v>p</v>
      </c>
      <c r="D60" s="70">
        <f>VLOOKUP($A60,Engine!$D:$H,3,FALSE)</f>
        <v>1</v>
      </c>
      <c r="E60" s="7" t="str">
        <f>VLOOKUP($A60,Engine!$D:$H,5,FALSE)</f>
        <v>BillyB</v>
      </c>
      <c r="F60" s="71"/>
      <c r="G60" s="8">
        <f>L60-VLOOKUP($A60,Engine!$D:$S,15,FALSE)</f>
        <v>0</v>
      </c>
      <c r="H60" s="8">
        <f>N60-VLOOKUP($A60,Engine!$D:$S,16,FALSE)</f>
        <v>18</v>
      </c>
      <c r="I60" s="9"/>
      <c r="J60" s="8" t="str">
        <f>IF(VLOOKUP(E60,Engine!H:Q,10,FALSE)=0,"",VLOOKUP(E60,Engine!H:Q,10,FALSE))</f>
        <v>Bulldogs</v>
      </c>
      <c r="K60" s="72" t="str">
        <f t="shared" si="7"/>
        <v/>
      </c>
      <c r="L60" s="7">
        <f>VLOOKUP($A60,Engine!$D:$Z,22,FALSE)</f>
        <v>22</v>
      </c>
      <c r="M60" s="71"/>
      <c r="N60" s="7">
        <f>VLOOKUP($A60,Engine!$D:$Z,23,FALSE)</f>
        <v>1174</v>
      </c>
    </row>
    <row r="61" spans="1:14" x14ac:dyDescent="0.35">
      <c r="A61" s="68">
        <f t="shared" si="5"/>
        <v>47</v>
      </c>
      <c r="B61" s="7">
        <f t="shared" si="6"/>
        <v>47</v>
      </c>
      <c r="C61" s="69" t="str">
        <f>VLOOKUP($A61,Engine!$D:$H,2,FALSE)</f>
        <v>p</v>
      </c>
      <c r="D61" s="70">
        <f>VLOOKUP($A61,Engine!$D:$H,3,FALSE)</f>
        <v>1</v>
      </c>
      <c r="E61" s="7" t="str">
        <f>VLOOKUP($A61,Engine!$D:$H,5,FALSE)</f>
        <v>Matt Brownie</v>
      </c>
      <c r="F61" s="71"/>
      <c r="G61" s="8">
        <f>L61-VLOOKUP($A61,Engine!$D:$S,15,FALSE)</f>
        <v>0</v>
      </c>
      <c r="H61" s="8">
        <f>N61-VLOOKUP($A61,Engine!$D:$S,16,FALSE)</f>
        <v>18</v>
      </c>
      <c r="I61" s="9"/>
      <c r="J61" s="8" t="str">
        <f>IF(VLOOKUP(E61,Engine!H:Q,10,FALSE)=0,"",VLOOKUP(E61,Engine!H:Q,10,FALSE))</f>
        <v>Bulldogs</v>
      </c>
      <c r="K61" s="72" t="str">
        <f t="shared" si="7"/>
        <v/>
      </c>
      <c r="L61" s="7">
        <f>VLOOKUP($A61,Engine!$D:$Z,22,FALSE)</f>
        <v>22</v>
      </c>
      <c r="M61" s="71"/>
      <c r="N61" s="7">
        <f>VLOOKUP($A61,Engine!$D:$Z,23,FALSE)</f>
        <v>1123</v>
      </c>
    </row>
    <row r="62" spans="1:14" x14ac:dyDescent="0.35">
      <c r="A62" s="68">
        <f t="shared" si="5"/>
        <v>48</v>
      </c>
      <c r="B62" s="7">
        <f t="shared" si="6"/>
        <v>48</v>
      </c>
      <c r="C62" s="69" t="str">
        <f>VLOOKUP($A62,Engine!$D:$H,2,FALSE)</f>
        <v>p</v>
      </c>
      <c r="D62" s="70">
        <f>VLOOKUP($A62,Engine!$D:$H,3,FALSE)</f>
        <v>1</v>
      </c>
      <c r="E62" s="7" t="str">
        <f>VLOOKUP($A62,Engine!$D:$H,5,FALSE)</f>
        <v>Lukebrooksbiggestfan</v>
      </c>
      <c r="F62" s="71"/>
      <c r="G62" s="8">
        <f>L62-VLOOKUP($A62,Engine!$D:$S,15,FALSE)</f>
        <v>0</v>
      </c>
      <c r="H62" s="8">
        <f>N62-VLOOKUP($A62,Engine!$D:$S,16,FALSE)</f>
        <v>18</v>
      </c>
      <c r="I62" s="9"/>
      <c r="J62" s="8" t="str">
        <f>IF(VLOOKUP(E62,Engine!H:Q,10,FALSE)=0,"",VLOOKUP(E62,Engine!H:Q,10,FALSE))</f>
        <v>Wests Tigers</v>
      </c>
      <c r="K62" s="72" t="str">
        <f t="shared" si="7"/>
        <v/>
      </c>
      <c r="L62" s="7">
        <f>VLOOKUP($A62,Engine!$D:$Z,22,FALSE)</f>
        <v>21</v>
      </c>
      <c r="M62" s="71"/>
      <c r="N62" s="7">
        <f>VLOOKUP($A62,Engine!$D:$Z,23,FALSE)</f>
        <v>1148</v>
      </c>
    </row>
    <row r="63" spans="1:14" x14ac:dyDescent="0.35">
      <c r="A63" s="68">
        <f t="shared" si="5"/>
        <v>49</v>
      </c>
      <c r="B63" s="7">
        <f t="shared" si="6"/>
        <v>49</v>
      </c>
      <c r="C63" s="69" t="str">
        <f>VLOOKUP($A63,Engine!$D:$H,2,FALSE)</f>
        <v>p</v>
      </c>
      <c r="D63" s="70">
        <f>VLOOKUP($A63,Engine!$D:$H,3,FALSE)</f>
        <v>5</v>
      </c>
      <c r="E63" s="7" t="str">
        <f>VLOOKUP($A63,Engine!$D:$H,5,FALSE)</f>
        <v>Westy</v>
      </c>
      <c r="F63" s="71"/>
      <c r="G63" s="8">
        <f>L63-VLOOKUP($A63,Engine!$D:$S,15,FALSE)</f>
        <v>3</v>
      </c>
      <c r="H63" s="8">
        <f>N63-VLOOKUP($A63,Engine!$D:$S,16,FALSE)</f>
        <v>20</v>
      </c>
      <c r="I63" s="9"/>
      <c r="J63" s="8" t="str">
        <f>IF(VLOOKUP(E63,Engine!H:Q,10,FALSE)=0,"",VLOOKUP(E63,Engine!H:Q,10,FALSE))</f>
        <v>Dragons</v>
      </c>
      <c r="K63" s="72" t="str">
        <f t="shared" si="7"/>
        <v>ü</v>
      </c>
      <c r="L63" s="7">
        <f>VLOOKUP($A63,Engine!$D:$Z,22,FALSE)</f>
        <v>21</v>
      </c>
      <c r="M63" s="71"/>
      <c r="N63" s="7">
        <f>VLOOKUP($A63,Engine!$D:$Z,23,FALSE)</f>
        <v>1135</v>
      </c>
    </row>
    <row r="64" spans="1:14" x14ac:dyDescent="0.35">
      <c r="A64" s="68">
        <f t="shared" si="5"/>
        <v>50</v>
      </c>
      <c r="B64" s="7">
        <f t="shared" si="6"/>
        <v>50</v>
      </c>
      <c r="C64" s="69" t="str">
        <f>VLOOKUP($A64,Engine!$D:$H,2,FALSE)</f>
        <v>q</v>
      </c>
      <c r="D64" s="70">
        <f>VLOOKUP($A64,Engine!$D:$H,3,FALSE)</f>
        <v>5</v>
      </c>
      <c r="E64" s="7" t="str">
        <f>VLOOKUP($A64,Engine!$D:$H,5,FALSE)</f>
        <v>Michael Wu</v>
      </c>
      <c r="F64" s="71"/>
      <c r="G64" s="8">
        <f>L64-VLOOKUP($A64,Engine!$D:$S,15,FALSE)</f>
        <v>-2</v>
      </c>
      <c r="H64" s="8">
        <f>N64-VLOOKUP($A64,Engine!$D:$S,16,FALSE)</f>
        <v>18</v>
      </c>
      <c r="I64" s="9"/>
      <c r="J64" s="8" t="str">
        <f>IF(VLOOKUP(E64,Engine!H:Q,10,FALSE)=0,"",VLOOKUP(E64,Engine!H:Q,10,FALSE))</f>
        <v>No Tips</v>
      </c>
      <c r="K64" s="72" t="str">
        <f t="shared" si="7"/>
        <v/>
      </c>
      <c r="L64" s="7">
        <f>VLOOKUP($A64,Engine!$D:$Z,22,FALSE)</f>
        <v>21</v>
      </c>
      <c r="M64" s="71"/>
      <c r="N64" s="7">
        <f>VLOOKUP($A64,Engine!$D:$Z,23,FALSE)</f>
        <v>1103</v>
      </c>
    </row>
    <row r="65" spans="1:14" x14ac:dyDescent="0.35">
      <c r="A65" s="68">
        <f t="shared" si="5"/>
        <v>51</v>
      </c>
      <c r="B65" s="7">
        <f t="shared" si="6"/>
        <v>51</v>
      </c>
      <c r="C65" s="69" t="str">
        <f>VLOOKUP($A65,Engine!$D:$H,2,FALSE)</f>
        <v>p</v>
      </c>
      <c r="D65" s="70">
        <f>VLOOKUP($A65,Engine!$D:$H,3,FALSE)</f>
        <v>2</v>
      </c>
      <c r="E65" s="7" t="str">
        <f>VLOOKUP($A65,Engine!$D:$H,5,FALSE)</f>
        <v>blakey94</v>
      </c>
      <c r="F65" s="71"/>
      <c r="G65" s="8">
        <f>L65-VLOOKUP($A65,Engine!$D:$S,15,FALSE)</f>
        <v>1</v>
      </c>
      <c r="H65" s="8">
        <f>N65-VLOOKUP($A65,Engine!$D:$S,16,FALSE)</f>
        <v>20</v>
      </c>
      <c r="I65" s="9"/>
      <c r="J65" s="8" t="str">
        <f>IF(VLOOKUP(E65,Engine!H:Q,10,FALSE)=0,"",VLOOKUP(E65,Engine!H:Q,10,FALSE))</f>
        <v>Storm</v>
      </c>
      <c r="K65" s="72" t="str">
        <f t="shared" si="7"/>
        <v/>
      </c>
      <c r="L65" s="7">
        <f>VLOOKUP($A65,Engine!$D:$Z,22,FALSE)</f>
        <v>21</v>
      </c>
      <c r="M65" s="71"/>
      <c r="N65" s="7">
        <f>VLOOKUP($A65,Engine!$D:$Z,23,FALSE)</f>
        <v>1056</v>
      </c>
    </row>
    <row r="66" spans="1:14" x14ac:dyDescent="0.35">
      <c r="A66" s="68">
        <f t="shared" si="5"/>
        <v>52</v>
      </c>
      <c r="B66" s="7">
        <f t="shared" si="6"/>
        <v>52</v>
      </c>
      <c r="C66" s="69" t="str">
        <f>VLOOKUP($A66,Engine!$D:$H,2,FALSE)</f>
        <v>p</v>
      </c>
      <c r="D66" s="70">
        <f>VLOOKUP($A66,Engine!$D:$H,3,FALSE)</f>
        <v>3</v>
      </c>
      <c r="E66" s="7" t="str">
        <f>VLOOKUP($A66,Engine!$D:$H,5,FALSE)</f>
        <v>isha68</v>
      </c>
      <c r="F66" s="71"/>
      <c r="G66" s="8">
        <f>L66-VLOOKUP($A66,Engine!$D:$S,15,FALSE)</f>
        <v>3</v>
      </c>
      <c r="H66" s="8">
        <f>N66-VLOOKUP($A66,Engine!$D:$S,16,FALSE)</f>
        <v>20</v>
      </c>
      <c r="I66" s="9"/>
      <c r="J66" s="8" t="str">
        <f>IF(VLOOKUP(E66,Engine!H:Q,10,FALSE)=0,"",VLOOKUP(E66,Engine!H:Q,10,FALSE))</f>
        <v>Dragons</v>
      </c>
      <c r="K66" s="72" t="str">
        <f t="shared" si="7"/>
        <v>ü</v>
      </c>
      <c r="L66" s="7">
        <f>VLOOKUP($A66,Engine!$D:$Z,22,FALSE)</f>
        <v>21</v>
      </c>
      <c r="M66" s="71"/>
      <c r="N66" s="7">
        <f>VLOOKUP($A66,Engine!$D:$Z,23,FALSE)</f>
        <v>1004</v>
      </c>
    </row>
    <row r="67" spans="1:14" x14ac:dyDescent="0.35">
      <c r="A67" s="68">
        <f t="shared" si="5"/>
        <v>53</v>
      </c>
      <c r="B67" s="7">
        <f t="shared" si="6"/>
        <v>53</v>
      </c>
      <c r="C67" s="69" t="str">
        <f>VLOOKUP($A67,Engine!$D:$H,2,FALSE)</f>
        <v>q</v>
      </c>
      <c r="D67" s="70">
        <f>VLOOKUP($A67,Engine!$D:$H,3,FALSE)</f>
        <v>2</v>
      </c>
      <c r="E67" s="7" t="str">
        <f>VLOOKUP($A67,Engine!$D:$H,5,FALSE)</f>
        <v>Shagger</v>
      </c>
      <c r="F67" s="71"/>
      <c r="G67" s="8">
        <f>L67-VLOOKUP($A67,Engine!$D:$S,15,FALSE)</f>
        <v>0</v>
      </c>
      <c r="H67" s="8">
        <f>N67-VLOOKUP($A67,Engine!$D:$S,16,FALSE)</f>
        <v>18</v>
      </c>
      <c r="I67" s="9"/>
      <c r="J67" s="8" t="str">
        <f>IF(VLOOKUP(E67,Engine!H:Q,10,FALSE)=0,"",VLOOKUP(E67,Engine!H:Q,10,FALSE))</f>
        <v>Wests Tigers</v>
      </c>
      <c r="K67" s="72" t="str">
        <f t="shared" si="7"/>
        <v/>
      </c>
      <c r="L67" s="7">
        <f>VLOOKUP($A67,Engine!$D:$Z,22,FALSE)</f>
        <v>20</v>
      </c>
      <c r="M67" s="71"/>
      <c r="N67" s="7">
        <f>VLOOKUP($A67,Engine!$D:$Z,23,FALSE)</f>
        <v>1159</v>
      </c>
    </row>
    <row r="68" spans="1:14" x14ac:dyDescent="0.35">
      <c r="A68" s="68">
        <f t="shared" si="5"/>
        <v>54</v>
      </c>
      <c r="B68" s="7">
        <f t="shared" si="6"/>
        <v>54</v>
      </c>
      <c r="C68" s="69" t="str">
        <f>VLOOKUP($A68,Engine!$D:$H,2,FALSE)</f>
        <v>q</v>
      </c>
      <c r="D68" s="70">
        <f>VLOOKUP($A68,Engine!$D:$H,3,FALSE)</f>
        <v>2</v>
      </c>
      <c r="E68" s="7" t="str">
        <f>VLOOKUP($A68,Engine!$D:$H,5,FALSE)</f>
        <v>iTerry</v>
      </c>
      <c r="F68" s="71"/>
      <c r="G68" s="8">
        <f>L68-VLOOKUP($A68,Engine!$D:$S,15,FALSE)</f>
        <v>0</v>
      </c>
      <c r="H68" s="8">
        <f>N68-VLOOKUP($A68,Engine!$D:$S,16,FALSE)</f>
        <v>18</v>
      </c>
      <c r="I68" s="9"/>
      <c r="J68" s="8" t="str">
        <f>IF(VLOOKUP(E68,Engine!H:Q,10,FALSE)=0,"",VLOOKUP(E68,Engine!H:Q,10,FALSE))</f>
        <v>Storm</v>
      </c>
      <c r="K68" s="72" t="str">
        <f t="shared" si="7"/>
        <v/>
      </c>
      <c r="L68" s="7">
        <f>VLOOKUP($A68,Engine!$D:$Z,22,FALSE)</f>
        <v>20</v>
      </c>
      <c r="M68" s="71"/>
      <c r="N68" s="7">
        <f>VLOOKUP($A68,Engine!$D:$Z,23,FALSE)</f>
        <v>1102</v>
      </c>
    </row>
    <row r="69" spans="1:14" x14ac:dyDescent="0.35">
      <c r="A69" s="68">
        <f t="shared" si="5"/>
        <v>55</v>
      </c>
      <c r="B69" s="7">
        <f t="shared" si="6"/>
        <v>55</v>
      </c>
      <c r="C69" s="69" t="str">
        <f>VLOOKUP($A69,Engine!$D:$H,2,FALSE)</f>
        <v>q</v>
      </c>
      <c r="D69" s="70">
        <f>VLOOKUP($A69,Engine!$D:$H,3,FALSE)</f>
        <v>5</v>
      </c>
      <c r="E69" s="7" t="str">
        <f>VLOOKUP($A69,Engine!$D:$H,5,FALSE)</f>
        <v>NotLast</v>
      </c>
      <c r="F69" s="71"/>
      <c r="G69" s="8">
        <f>L69-VLOOKUP($A69,Engine!$D:$S,15,FALSE)</f>
        <v>-2</v>
      </c>
      <c r="H69" s="8">
        <f>N69-VLOOKUP($A69,Engine!$D:$S,16,FALSE)</f>
        <v>18</v>
      </c>
      <c r="I69" s="9"/>
      <c r="J69" s="8" t="str">
        <f>IF(VLOOKUP(E69,Engine!H:Q,10,FALSE)=0,"",VLOOKUP(E69,Engine!H:Q,10,FALSE))</f>
        <v>Sea Eagles</v>
      </c>
      <c r="K69" s="72" t="str">
        <f t="shared" si="7"/>
        <v>û</v>
      </c>
      <c r="L69" s="7">
        <f>VLOOKUP($A69,Engine!$D:$Z,22,FALSE)</f>
        <v>19</v>
      </c>
      <c r="M69" s="71"/>
      <c r="N69" s="7">
        <f>VLOOKUP($A69,Engine!$D:$Z,23,FALSE)</f>
        <v>1121</v>
      </c>
    </row>
    <row r="70" spans="1:14" hidden="1" x14ac:dyDescent="0.35">
      <c r="A70" s="68">
        <f t="shared" si="5"/>
        <v>56</v>
      </c>
      <c r="B70" s="7">
        <f t="shared" si="6"/>
        <v>56</v>
      </c>
      <c r="C70" s="69" t="e">
        <f>VLOOKUP($A70,Engine!$D:$H,2,FALSE)</f>
        <v>#N/A</v>
      </c>
      <c r="D70" s="70" t="e">
        <f>VLOOKUP($A70,Engine!$D:$H,3,FALSE)</f>
        <v>#N/A</v>
      </c>
      <c r="E70" s="7" t="e">
        <f>VLOOKUP($A70,Engine!$D:$H,5,FALSE)</f>
        <v>#N/A</v>
      </c>
      <c r="F70" s="71"/>
      <c r="G70" s="8" t="e">
        <f>L70-VLOOKUP($A70,Engine!$D:$S,15,FALSE)</f>
        <v>#N/A</v>
      </c>
      <c r="H70" s="8" t="e">
        <f>N70-VLOOKUP($A70,Engine!$D:$S,16,FALSE)</f>
        <v>#N/A</v>
      </c>
      <c r="I70" s="9"/>
      <c r="J70" s="8" t="e">
        <f>IF(VLOOKUP(E70,Engine!H:Q,10,FALSE)=0,"",VLOOKUP(E70,Engine!H:Q,10,FALSE))</f>
        <v>#N/A</v>
      </c>
      <c r="K70" s="72" t="str">
        <f t="shared" si="7"/>
        <v/>
      </c>
      <c r="L70" s="7" t="e">
        <f>VLOOKUP($A70,Engine!$D:$Z,22,FALSE)</f>
        <v>#N/A</v>
      </c>
      <c r="M70" s="71"/>
      <c r="N70" s="7" t="e">
        <f>VLOOKUP($A70,Engine!$D:$Z,23,FALSE)</f>
        <v>#N/A</v>
      </c>
    </row>
    <row r="71" spans="1:14" hidden="1" x14ac:dyDescent="0.35">
      <c r="A71" s="68">
        <f t="shared" si="5"/>
        <v>57</v>
      </c>
      <c r="B71" s="7">
        <f t="shared" si="6"/>
        <v>57</v>
      </c>
      <c r="C71" s="69" t="e">
        <f>VLOOKUP($A71,Engine!$D:$H,2,FALSE)</f>
        <v>#N/A</v>
      </c>
      <c r="D71" s="70" t="e">
        <f>VLOOKUP($A71,Engine!$D:$H,3,FALSE)</f>
        <v>#N/A</v>
      </c>
      <c r="E71" s="7" t="e">
        <f>VLOOKUP($A71,Engine!$D:$H,5,FALSE)</f>
        <v>#N/A</v>
      </c>
      <c r="F71" s="71"/>
      <c r="G71" s="8" t="e">
        <f>L71-VLOOKUP($A71,Engine!$D:$S,15,FALSE)</f>
        <v>#N/A</v>
      </c>
      <c r="H71" s="8" t="e">
        <f>N71-VLOOKUP($A71,Engine!$D:$S,16,FALSE)</f>
        <v>#N/A</v>
      </c>
      <c r="I71" s="9"/>
      <c r="J71" s="8" t="e">
        <f>IF(VLOOKUP(E71,Engine!H:Q,10,FALSE)=0,"",VLOOKUP(E71,Engine!H:Q,10,FALSE))</f>
        <v>#N/A</v>
      </c>
      <c r="K71" s="72" t="str">
        <f t="shared" si="7"/>
        <v/>
      </c>
      <c r="L71" s="7" t="e">
        <f>VLOOKUP($A71,Engine!$D:$Z,22,FALSE)</f>
        <v>#N/A</v>
      </c>
      <c r="M71" s="71"/>
      <c r="N71" s="7" t="e">
        <f>VLOOKUP($A71,Engine!$D:$Z,23,FALSE)</f>
        <v>#N/A</v>
      </c>
    </row>
    <row r="72" spans="1:14" hidden="1" x14ac:dyDescent="0.35">
      <c r="A72" s="68">
        <f t="shared" si="5"/>
        <v>58</v>
      </c>
      <c r="B72" s="7">
        <f t="shared" si="6"/>
        <v>58</v>
      </c>
      <c r="C72" s="69" t="e">
        <f>VLOOKUP($A72,Engine!$D:$H,2,FALSE)</f>
        <v>#N/A</v>
      </c>
      <c r="D72" s="70" t="e">
        <f>VLOOKUP($A72,Engine!$D:$H,3,FALSE)</f>
        <v>#N/A</v>
      </c>
      <c r="E72" s="7" t="e">
        <f>VLOOKUP($A72,Engine!$D:$H,5,FALSE)</f>
        <v>#N/A</v>
      </c>
      <c r="F72" s="71"/>
      <c r="G72" s="8" t="e">
        <f>L72-VLOOKUP($A72,Engine!$D:$S,15,FALSE)</f>
        <v>#N/A</v>
      </c>
      <c r="H72" s="8" t="e">
        <f>N72-VLOOKUP($A72,Engine!$D:$S,16,FALSE)</f>
        <v>#N/A</v>
      </c>
      <c r="I72" s="9"/>
      <c r="J72" s="8" t="e">
        <f>IF(VLOOKUP(E72,Engine!H:Q,10,FALSE)=0,"",VLOOKUP(E72,Engine!H:Q,10,FALSE))</f>
        <v>#N/A</v>
      </c>
      <c r="K72" s="72" t="str">
        <f t="shared" si="7"/>
        <v/>
      </c>
      <c r="L72" s="7" t="e">
        <f>VLOOKUP($A72,Engine!$D:$Z,22,FALSE)</f>
        <v>#N/A</v>
      </c>
      <c r="M72" s="71"/>
      <c r="N72" s="7" t="e">
        <f>VLOOKUP($A72,Engine!$D:$Z,23,FALSE)</f>
        <v>#N/A</v>
      </c>
    </row>
  </sheetData>
  <sheetProtection algorithmName="SHA-512" hashValue="j+OBsDQJVhArNgtUvcY2xlyrcUJpbEy+RZ9sf+NHvCFWDWnguBZNjZzOv2kR4GG6FyJDY59OzsGFigvXO/xK8g==" saltValue="6MaP1M7olDf9ub4dpisOUA==" spinCount="100000" sheet="1" objects="1" scenarios="1" selectLockedCells="1"/>
  <mergeCells count="11">
    <mergeCell ref="B1:O1"/>
    <mergeCell ref="Z11:AB11"/>
    <mergeCell ref="C3:D3"/>
    <mergeCell ref="L13:N13"/>
    <mergeCell ref="B13:D13"/>
    <mergeCell ref="G13:J13"/>
    <mergeCell ref="G3:H3"/>
    <mergeCell ref="L3:N3"/>
    <mergeCell ref="G6:J6"/>
    <mergeCell ref="L6:N6"/>
    <mergeCell ref="G4:J4"/>
  </mergeCells>
  <conditionalFormatting sqref="B4:B11 E4:E11">
    <cfRule type="cellIs" dxfId="26" priority="88" stopIfTrue="1" operator="equal">
      <formula>#REF!</formula>
    </cfRule>
    <cfRule type="cellIs" dxfId="25" priority="89" stopIfTrue="1" operator="equal">
      <formula>#REF!</formula>
    </cfRule>
    <cfRule type="cellIs" dxfId="24" priority="90" stopIfTrue="1" operator="equal">
      <formula>"ERROR"</formula>
    </cfRule>
  </conditionalFormatting>
  <conditionalFormatting sqref="B15:B72 E15:E72 G15:H72 J15:J72 L15:L72 N15:N72">
    <cfRule type="expression" dxfId="23" priority="1" stopIfTrue="1">
      <formula>$C15=$R$4</formula>
    </cfRule>
    <cfRule type="expression" dxfId="22" priority="2" stopIfTrue="1">
      <formula>$C15=$R$3</formula>
    </cfRule>
  </conditionalFormatting>
  <conditionalFormatting sqref="C8:D8">
    <cfRule type="expression" dxfId="21" priority="16">
      <formula>$T$3&lt;5</formula>
    </cfRule>
  </conditionalFormatting>
  <conditionalFormatting sqref="C9:D9">
    <cfRule type="expression" dxfId="20" priority="17">
      <formula>$T$3&lt;6</formula>
    </cfRule>
  </conditionalFormatting>
  <conditionalFormatting sqref="C10:D10">
    <cfRule type="expression" dxfId="19" priority="18">
      <formula>$T$3&lt;7</formula>
    </cfRule>
  </conditionalFormatting>
  <conditionalFormatting sqref="C11:D11">
    <cfRule type="expression" dxfId="18" priority="19">
      <formula>$T$3&lt;8</formula>
    </cfRule>
  </conditionalFormatting>
  <conditionalFormatting sqref="C15:D72">
    <cfRule type="expression" dxfId="17" priority="3">
      <formula>$C15=$R$4</formula>
    </cfRule>
    <cfRule type="expression" dxfId="16" priority="4">
      <formula>$C15=$R$3</formula>
    </cfRule>
  </conditionalFormatting>
  <conditionalFormatting sqref="G8:H8 J8 L8 N8">
    <cfRule type="expression" dxfId="15" priority="27">
      <formula>$M$4=$R$5</formula>
    </cfRule>
    <cfRule type="expression" dxfId="14" priority="28">
      <formula>$M$4=$R$4</formula>
    </cfRule>
    <cfRule type="expression" dxfId="13" priority="29">
      <formula>$M$4=$R$3</formula>
    </cfRule>
  </conditionalFormatting>
  <conditionalFormatting sqref="K8 K15:K72">
    <cfRule type="expression" dxfId="12" priority="23">
      <formula>$K8=$R$7</formula>
    </cfRule>
  </conditionalFormatting>
  <conditionalFormatting sqref="L4:N4">
    <cfRule type="expression" dxfId="11" priority="20">
      <formula>$M$4=$R$5</formula>
    </cfRule>
    <cfRule type="expression" dxfId="10" priority="21">
      <formula>$M$4=$R$4</formula>
    </cfRule>
    <cfRule type="expression" dxfId="9" priority="22">
      <formula>$M$4=$R$3</formula>
    </cfRule>
  </conditionalFormatting>
  <pageMargins left="0.7" right="0.7" top="0.75" bottom="0.75" header="0.3" footer="0.3"/>
  <pageSetup paperSize="9" orientation="portrait" r:id="rId1"/>
  <ignoredErrors>
    <ignoredError sqref="S13 T13:U13" evalError="1"/>
  </ignoredError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998088A0-DB40-4D97-990E-4DED10BCA4E6}">
          <x14:formula1>
            <xm:f>Engine!$H$2:$H$55</xm:f>
          </x14:formula1>
          <xm:sqref>G4:J4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6"/>
  <dimension ref="A1:AL97"/>
  <sheetViews>
    <sheetView topLeftCell="A16" workbookViewId="0">
      <selection activeCell="H2" sqref="H2:Q55"/>
    </sheetView>
  </sheetViews>
  <sheetFormatPr defaultRowHeight="14.5" x14ac:dyDescent="0.35"/>
  <cols>
    <col min="3" max="3" width="46" style="111" bestFit="1" customWidth="1"/>
    <col min="8" max="8" width="17.453125" bestFit="1" customWidth="1"/>
    <col min="9" max="9" width="9.1796875" bestFit="1" customWidth="1"/>
    <col min="10" max="10" width="7.54296875" bestFit="1" customWidth="1"/>
    <col min="11" max="11" width="11.26953125" bestFit="1" customWidth="1"/>
    <col min="12" max="12" width="7" bestFit="1" customWidth="1"/>
    <col min="13" max="13" width="10" bestFit="1" customWidth="1"/>
    <col min="14" max="14" width="6.81640625" bestFit="1" customWidth="1"/>
    <col min="15" max="15" width="7.81640625" bestFit="1" customWidth="1"/>
    <col min="16" max="16" width="8.1796875" bestFit="1" customWidth="1"/>
    <col min="17" max="17" width="11.453125" bestFit="1" customWidth="1"/>
    <col min="18" max="19" width="8.7265625" style="1"/>
    <col min="20" max="20" width="9.6328125" style="1" bestFit="1" customWidth="1"/>
    <col min="21" max="21" width="10.08984375" style="1" bestFit="1" customWidth="1"/>
    <col min="22" max="24" width="8.7265625" style="1"/>
    <col min="27" max="27" width="17.1796875" style="111" bestFit="1" customWidth="1"/>
    <col min="32" max="32" width="10" bestFit="1" customWidth="1"/>
    <col min="33" max="34" width="9.81640625" bestFit="1" customWidth="1"/>
    <col min="35" max="35" width="10.08984375" bestFit="1" customWidth="1"/>
    <col min="36" max="36" width="8.90625" customWidth="1"/>
  </cols>
  <sheetData>
    <row r="1" spans="1:38" x14ac:dyDescent="0.35">
      <c r="A1" t="s">
        <v>86</v>
      </c>
      <c r="B1" t="s">
        <v>3</v>
      </c>
      <c r="C1" s="111" t="s">
        <v>59</v>
      </c>
      <c r="D1" t="s">
        <v>6</v>
      </c>
      <c r="E1" t="s">
        <v>13</v>
      </c>
      <c r="F1" t="s">
        <v>17</v>
      </c>
      <c r="G1" t="s">
        <v>60</v>
      </c>
      <c r="H1" t="s">
        <v>61</v>
      </c>
      <c r="I1" s="6">
        <v>1</v>
      </c>
      <c r="J1" s="6">
        <v>2</v>
      </c>
      <c r="K1" s="6">
        <v>3</v>
      </c>
      <c r="L1" s="6">
        <v>4</v>
      </c>
      <c r="M1" s="6">
        <v>5</v>
      </c>
      <c r="N1" s="6">
        <v>6</v>
      </c>
      <c r="O1" s="6">
        <v>7</v>
      </c>
      <c r="P1" s="6">
        <v>8</v>
      </c>
      <c r="Q1" s="5"/>
      <c r="R1" s="1" t="s">
        <v>2</v>
      </c>
      <c r="S1" s="1" t="s">
        <v>1</v>
      </c>
      <c r="T1" s="1" t="s">
        <v>10</v>
      </c>
      <c r="U1" s="1" t="s">
        <v>11</v>
      </c>
      <c r="V1" s="1" t="s">
        <v>19</v>
      </c>
      <c r="W1" s="1" t="s">
        <v>2</v>
      </c>
      <c r="X1" s="1" t="s">
        <v>1</v>
      </c>
      <c r="Y1" t="s">
        <v>4</v>
      </c>
      <c r="Z1" t="s">
        <v>5</v>
      </c>
      <c r="AA1" s="111" t="s">
        <v>58</v>
      </c>
      <c r="AB1" t="s">
        <v>63</v>
      </c>
      <c r="AC1" t="s">
        <v>64</v>
      </c>
      <c r="AD1" t="s">
        <v>65</v>
      </c>
      <c r="AE1" t="s">
        <v>66</v>
      </c>
      <c r="AF1" t="s">
        <v>79</v>
      </c>
      <c r="AG1" t="s">
        <v>77</v>
      </c>
      <c r="AH1" t="s">
        <v>78</v>
      </c>
      <c r="AI1" t="s">
        <v>80</v>
      </c>
      <c r="AJ1" t="s">
        <v>81</v>
      </c>
      <c r="AK1" t="s">
        <v>82</v>
      </c>
      <c r="AL1" t="s">
        <v>83</v>
      </c>
    </row>
    <row r="2" spans="1:38" x14ac:dyDescent="0.35">
      <c r="A2">
        <v>1</v>
      </c>
      <c r="B2">
        <f t="shared" ref="B2:B33" si="0">IF(H2="ZZZZZZ Suspend","",RANK(C2,C:C))</f>
        <v>24</v>
      </c>
      <c r="C2" s="111">
        <f>IF(H2="ZZZZZZ Suspend","",R2+(S2/100000)+(G2/1000000000))</f>
        <v>29.011570093</v>
      </c>
      <c r="D2">
        <f t="shared" ref="D2:D33" si="1">IF(H2="ZZZZZZ Suspend","",RANK(AA2,AA:AA))</f>
        <v>27</v>
      </c>
      <c r="E2" s="3" t="str">
        <f>IF(H2="ZZZZZZ Suspend","",IF(D2&lt;B2,AD$3,IF(D2&gt;B2,AD$4,AD$5)))</f>
        <v>q</v>
      </c>
      <c r="F2">
        <f t="shared" ref="F2" si="2">IF(H2="ZZZZZZ Suspend","",IF(D2&gt;B2,D2-B2,IF(D2&lt;B2,B2-D2,"")))</f>
        <v>3</v>
      </c>
      <c r="G2">
        <v>93</v>
      </c>
      <c r="H2" t="str">
        <f>Data!A3</f>
        <v>9986</v>
      </c>
      <c r="I2" s="2" t="str">
        <f>Data!C3</f>
        <v>Sea Eagles</v>
      </c>
      <c r="J2" s="2" t="str">
        <f>Data!D3</f>
        <v>Bulldogs</v>
      </c>
      <c r="K2" s="2" t="str">
        <f>Data!E3</f>
        <v>Storm</v>
      </c>
      <c r="L2" s="2" t="str">
        <f>IF(Data!$S$3&lt;Engine!L$1,0,Data!F3)</f>
        <v>Broncos</v>
      </c>
      <c r="M2" s="2" t="str">
        <f>IF(Data!$S$3&lt;Engine!M$1,0,Data!G3)</f>
        <v>Panthers</v>
      </c>
      <c r="N2" s="2" t="str">
        <f>IF(Data!$S$3&lt;Engine!N$1,0,Data!H3)</f>
        <v>Raiders</v>
      </c>
      <c r="O2" s="2" t="str">
        <f>IF(Data!$S$3&lt;Engine!O$1,0,Data!I3)</f>
        <v>Sharks</v>
      </c>
      <c r="P2" s="2" t="str">
        <f>IF(Data!$S$3&lt;Engine!P$1,0,Data!J3)</f>
        <v>Wests Tigers</v>
      </c>
      <c r="Q2" s="11" t="str">
        <f>IF(Data!B3=1,Data!K3,"No Tips")</f>
        <v>Storm</v>
      </c>
      <c r="R2" s="2">
        <f>Data!L3</f>
        <v>29</v>
      </c>
      <c r="S2" s="2">
        <f>Data!M3</f>
        <v>1157</v>
      </c>
      <c r="T2" s="1">
        <f>IF(I2="","",COUNTIF('Live Ladder'!P:P,I2)+COUNTIF('Live Ladder'!P:P,J2)+COUNTIF('Live Ladder'!P:P,K2)+COUNTIF('Live Ladder'!P:P,L2)+COUNTIF('Live Ladder'!P:P,M2)+COUNTIF('Live Ladder'!P:P,N2)+COUNTIF('Live Ladder'!P:P,O2)+COUNTIF('Live Ladder'!P:P,P2))</f>
        <v>0</v>
      </c>
      <c r="U2" s="1">
        <f>IF(I2="","",IF(COUNTIF('Live Ladder'!P:P,Engine!Q2)=1,2,IF(COUNTIF('Live Ladder'!Q:Q,Engine!Q2)=1,-2,0)))</f>
        <v>0</v>
      </c>
      <c r="V2" s="1">
        <f>IF(I2="","",IF(T2=Data!S$3,2,0))</f>
        <v>0</v>
      </c>
      <c r="W2" s="1">
        <f t="shared" ref="W2" si="3">IF(I2="",AD$2,SUM(T2:V2))</f>
        <v>0</v>
      </c>
      <c r="X2" s="1">
        <f>IF(I2="",AE$2,IF(I2='Live Ladder'!B$4,'Live Ladder'!C$4,'Live Ladder'!D$4)+IF(J2='Live Ladder'!B$5,'Live Ladder'!C$5,'Live Ladder'!D$5)+IF(K2='Live Ladder'!B$6,'Live Ladder'!C$6,'Live Ladder'!D$6)+IF(L2='Live Ladder'!B$7,'Live Ladder'!C$7,'Live Ladder'!D$7)+IF(M2='Live Ladder'!B$8,'Live Ladder'!C$8,'Live Ladder'!D$8)+IF(N2='Live Ladder'!B$9,'Live Ladder'!C$9,'Live Ladder'!D$9)+IF(O2='Live Ladder'!B$10,'Live Ladder'!C$10,'Live Ladder'!D$10)+IF(P2='Live Ladder'!B$11,'Live Ladder'!C$11,'Live Ladder'!D$11))</f>
        <v>18</v>
      </c>
      <c r="Y2">
        <f t="shared" ref="Y2:Y15" si="4">IF(H2="ZZZZZZ Suspend","",R2+W2)</f>
        <v>29</v>
      </c>
      <c r="Z2">
        <f t="shared" ref="Z2" si="5">IF(H2="ZZZZZZ Suspend","",S2+X2)</f>
        <v>1175</v>
      </c>
      <c r="AA2" s="111">
        <f>IF(H2="ZZZZZZ Suspend","",Y2+(Z2/100000)+(G2/1000000000))</f>
        <v>29.011750093</v>
      </c>
      <c r="AB2">
        <f t="shared" ref="AB2:AB3" si="6">IF(Q2="No Tips","",SUM(T2:V2))</f>
        <v>0</v>
      </c>
      <c r="AC2">
        <f>IF(I2="","",IF(I2='Live Ladder'!B$4,'Live Ladder'!C$4,'Live Ladder'!D$4)+IF(J2='Live Ladder'!B$5,'Live Ladder'!C$5,'Live Ladder'!D$5)+IF(K2='Live Ladder'!B$6,'Live Ladder'!C$6,'Live Ladder'!D$6)+IF(L2='Live Ladder'!B$7,'Live Ladder'!C$7,'Live Ladder'!D$7)+IF(M2='Live Ladder'!B$8,'Live Ladder'!C$8,'Live Ladder'!D$8)+IF(N2='Live Ladder'!B$9,'Live Ladder'!C$9,'Live Ladder'!D$9)+IF(O2='Live Ladder'!B$10,'Live Ladder'!C$10,'Live Ladder'!D$10)+IF(P2='Live Ladder'!B$11,'Live Ladder'!C$11,'Live Ladder'!D$11))</f>
        <v>18</v>
      </c>
      <c r="AD2">
        <f>MIN(AB:AB)</f>
        <v>-2</v>
      </c>
      <c r="AE2">
        <f>MIN(AC:AC)</f>
        <v>18</v>
      </c>
      <c r="AF2">
        <f>IF(I2="","",IF(Q2="",0,IF(AND(Q2&gt;0,COUNTIF('Stats Calculator'!$T$24:$AA$24,Q2)=1),HLOOKUP(Q2,'Stats Calculator'!$T$24:$AA$27,4,FALSE),IF(AND(Q2&gt;0,COUNTIF('Stats Calculator'!$T$25:$AA$25,Q2)=1),HLOOKUP(Q2,'Stats Calculator'!$T$25:$AA$27,3,FALSE)))))</f>
        <v>3</v>
      </c>
      <c r="AG2">
        <f>IF(I2="","",COUNTIF(I2,'Stats Calculator'!E$31)+COUNTIF(J2,'Stats Calculator'!E$32)+COUNTIF(K2,'Stats Calculator'!E$33)+COUNTIF(L2,'Stats Calculator'!E$34)+COUNTIF(M2,'Stats Calculator'!E$35)+COUNTIF(N2,'Stats Calculator'!E$36)+COUNTIF(O2,'Stats Calculator'!E$37)+COUNTIF(P2,'Stats Calculator'!E$38)-8+Data!S$3)</f>
        <v>0</v>
      </c>
      <c r="AH2">
        <f>IF(I2="","",IF(Q2="",0,IF(Q2=0,0,IF(VLOOKUP(Engine!AF2,'Stats Calculator'!B$31:E$38,4,FALSE)="",0,IF(VLOOKUP(Engine!AF2,'Stats Calculator'!B$31:E$38,4,FALSE)=Q2,2,-2)))))</f>
        <v>0</v>
      </c>
      <c r="AI2">
        <f>IF(I2="","",Data!S$3-COUNTA('Stats Calculator'!E$31:E$38))</f>
        <v>7</v>
      </c>
      <c r="AJ2">
        <f>IF(I2="","",IF(AF2=0,0,IF(VLOOKUP(AF2,'Stats Calculator'!B$31:E$38,4,FALSE)&gt;0,0,2)))</f>
        <v>2</v>
      </c>
      <c r="AK2">
        <f>IF(I2="","",IF(Data!S$3-Engine!AI2=AG2,2,0))</f>
        <v>0</v>
      </c>
      <c r="AL2">
        <f t="shared" ref="AL2" si="7">IF(I2="","",SUM(AG2:AK2))</f>
        <v>9</v>
      </c>
    </row>
    <row r="3" spans="1:38" x14ac:dyDescent="0.35">
      <c r="A3">
        <v>2</v>
      </c>
      <c r="B3">
        <f t="shared" si="0"/>
        <v>13</v>
      </c>
      <c r="C3" s="111">
        <f t="shared" ref="C3:C66" si="8">IF(H3="ZZZZZZ Suspend","",R3+(S3/100000)+(G3/1000000000))</f>
        <v>32.011740092000004</v>
      </c>
      <c r="D3">
        <f t="shared" si="1"/>
        <v>13</v>
      </c>
      <c r="E3" s="3" t="str">
        <f t="shared" ref="E3:E66" si="9">IF(H3="ZZZZZZ Suspend","",IF(D3&lt;B3,AD$3,IF(D3&gt;B3,AD$4,AD$5)))</f>
        <v>u</v>
      </c>
      <c r="F3" t="str">
        <f t="shared" ref="F3:F66" si="10">IF(H3="ZZZZZZ Suspend","",IF(D3&gt;B3,D3-B3,IF(D3&lt;B3,B3-D3,"")))</f>
        <v/>
      </c>
      <c r="G3">
        <v>92</v>
      </c>
      <c r="H3" t="str">
        <f>Data!A4</f>
        <v>Ad</v>
      </c>
      <c r="I3" s="2" t="str">
        <f>Data!C4</f>
        <v>Sea Eagles</v>
      </c>
      <c r="J3" s="2" t="str">
        <f>Data!D4</f>
        <v>Bulldogs</v>
      </c>
      <c r="K3" s="2" t="str">
        <f>Data!E4</f>
        <v>Storm</v>
      </c>
      <c r="L3" s="2" t="str">
        <f>IF(Data!$S$3&lt;Engine!L$1,0,Data!F4)</f>
        <v>Warriors</v>
      </c>
      <c r="M3" s="2" t="str">
        <f>IF(Data!$S$3&lt;Engine!M$1,0,Data!G4)</f>
        <v>Roosters</v>
      </c>
      <c r="N3" s="2" t="str">
        <f>IF(Data!$S$3&lt;Engine!N$1,0,Data!H4)</f>
        <v>Raiders</v>
      </c>
      <c r="O3" s="2" t="str">
        <f>IF(Data!$S$3&lt;Engine!O$1,0,Data!I4)</f>
        <v>Sharks</v>
      </c>
      <c r="P3" s="2" t="str">
        <f>IF(Data!$S$3&lt;Engine!P$1,0,Data!J4)</f>
        <v>Wests Tigers</v>
      </c>
      <c r="Q3" s="11" t="str">
        <f>IF(Data!B4=1,Data!K4,"No Tips")</f>
        <v>Bulldogs</v>
      </c>
      <c r="R3" s="2">
        <f>Data!L4</f>
        <v>32</v>
      </c>
      <c r="S3" s="2">
        <f>Data!M4</f>
        <v>1174</v>
      </c>
      <c r="T3" s="1">
        <f>IF(I3="","",COUNTIF('Live Ladder'!P:P,I3)+COUNTIF('Live Ladder'!P:P,J3)+COUNTIF('Live Ladder'!P:P,K3)+COUNTIF('Live Ladder'!P:P,L3)+COUNTIF('Live Ladder'!P:P,M3)+COUNTIF('Live Ladder'!P:P,N3)+COUNTIF('Live Ladder'!P:P,O3)+COUNTIF('Live Ladder'!P:P,P3))</f>
        <v>0</v>
      </c>
      <c r="U3" s="1">
        <f>IF(I3="","",IF(COUNTIF('Live Ladder'!P:P,Engine!Q3)=1,2,IF(COUNTIF('Live Ladder'!Q:Q,Engine!Q3)=1,-2,0)))</f>
        <v>0</v>
      </c>
      <c r="V3" s="1">
        <f>IF(I3="","",IF(T3=Data!S$3,2,0))</f>
        <v>0</v>
      </c>
      <c r="W3" s="1">
        <f t="shared" ref="W3:W66" si="11">IF(I3="",AD$2,SUM(T3:V3))</f>
        <v>0</v>
      </c>
      <c r="X3" s="1">
        <f>IF(I3="",AE$2,IF(I3='Live Ladder'!B$4,'Live Ladder'!C$4,'Live Ladder'!D$4)+IF(J3='Live Ladder'!B$5,'Live Ladder'!C$5,'Live Ladder'!D$5)+IF(K3='Live Ladder'!B$6,'Live Ladder'!C$6,'Live Ladder'!D$6)+IF(L3='Live Ladder'!B$7,'Live Ladder'!C$7,'Live Ladder'!D$7)+IF(M3='Live Ladder'!B$8,'Live Ladder'!C$8,'Live Ladder'!D$8)+IF(N3='Live Ladder'!B$9,'Live Ladder'!C$9,'Live Ladder'!D$9)+IF(O3='Live Ladder'!B$10,'Live Ladder'!C$10,'Live Ladder'!D$10)+IF(P3='Live Ladder'!B$11,'Live Ladder'!C$11,'Live Ladder'!D$11))</f>
        <v>18</v>
      </c>
      <c r="Y3">
        <f t="shared" si="4"/>
        <v>32</v>
      </c>
      <c r="Z3">
        <f t="shared" ref="Z3:Z66" si="12">IF(H3="ZZZZZZ Suspend","",S3+X3)</f>
        <v>1192</v>
      </c>
      <c r="AA3" s="111">
        <f t="shared" ref="AA3:AA66" si="13">IF(H3="ZZZZZZ Suspend","",Y3+(Z3/100000)+(G3/1000000000))</f>
        <v>32.011920092000004</v>
      </c>
      <c r="AB3">
        <f t="shared" si="6"/>
        <v>0</v>
      </c>
      <c r="AC3">
        <f>IF(I3="","",IF(I3='Live Ladder'!B$4,'Live Ladder'!C$4,'Live Ladder'!D$4)+IF(J3='Live Ladder'!B$5,'Live Ladder'!C$5,'Live Ladder'!D$5)+IF(K3='Live Ladder'!B$6,'Live Ladder'!C$6,'Live Ladder'!D$6)+IF(L3='Live Ladder'!B$7,'Live Ladder'!C$7,'Live Ladder'!D$7)+IF(M3='Live Ladder'!B$8,'Live Ladder'!C$8,'Live Ladder'!D$8)+IF(N3='Live Ladder'!B$9,'Live Ladder'!C$9,'Live Ladder'!D$9)+IF(O3='Live Ladder'!B$10,'Live Ladder'!C$10,'Live Ladder'!D$10)+IF(P3='Live Ladder'!B$11,'Live Ladder'!C$11,'Live Ladder'!D$11))</f>
        <v>18</v>
      </c>
      <c r="AD3" s="3" t="s">
        <v>14</v>
      </c>
      <c r="AF3">
        <f>IF(I3="","",IF(Q3="",0,IF(AND(Q3&gt;0,COUNTIF('Stats Calculator'!$T$24:$AA$24,Q3)=1),HLOOKUP(Q3,'Stats Calculator'!$T$24:$AA$27,4,FALSE),IF(AND(Q3&gt;0,COUNTIF('Stats Calculator'!$T$25:$AA$25,Q3)=1),HLOOKUP(Q3,'Stats Calculator'!$T$25:$AA$27,3,FALSE)))))</f>
        <v>2</v>
      </c>
      <c r="AG3">
        <f>IF(I3="","",COUNTIF(I3,'Stats Calculator'!E$31)+COUNTIF(J3,'Stats Calculator'!E$32)+COUNTIF(K3,'Stats Calculator'!E$33)+COUNTIF(L3,'Stats Calculator'!E$34)+COUNTIF(M3,'Stats Calculator'!E$35)+COUNTIF(N3,'Stats Calculator'!E$36)+COUNTIF(O3,'Stats Calculator'!E$37)+COUNTIF(P3,'Stats Calculator'!E$38)-8+Data!S$3)</f>
        <v>0</v>
      </c>
      <c r="AH3">
        <f>IF(I3="","",IF(Q3="",0,IF(Q3=0,0,IF(VLOOKUP(Engine!AF3,'Stats Calculator'!B$31:E$38,4,FALSE)="",0,IF(VLOOKUP(Engine!AF3,'Stats Calculator'!B$31:E$38,4,FALSE)=Q3,2,-2)))))</f>
        <v>0</v>
      </c>
      <c r="AI3">
        <f>IF(I3="","",Data!S$3-COUNTA('Stats Calculator'!E$31:E$38))</f>
        <v>7</v>
      </c>
      <c r="AJ3">
        <f>IF(I3="","",IF(AF3=0,0,IF(VLOOKUP(AF3,'Stats Calculator'!B$31:E$38,4,FALSE)&gt;0,0,2)))</f>
        <v>2</v>
      </c>
      <c r="AK3">
        <f>IF(I3="","",IF(Data!S$3-Engine!AI3=AG3,2,0))</f>
        <v>0</v>
      </c>
      <c r="AL3">
        <f t="shared" ref="AL3:AL66" si="14">IF(I3="","",SUM(AG3:AK3))</f>
        <v>9</v>
      </c>
    </row>
    <row r="4" spans="1:38" x14ac:dyDescent="0.35">
      <c r="A4">
        <v>3</v>
      </c>
      <c r="B4">
        <f t="shared" si="0"/>
        <v>46</v>
      </c>
      <c r="C4" s="111">
        <f t="shared" si="8"/>
        <v>22.011920091</v>
      </c>
      <c r="D4">
        <f t="shared" si="1"/>
        <v>45</v>
      </c>
      <c r="E4" s="3" t="str">
        <f t="shared" si="9"/>
        <v>p</v>
      </c>
      <c r="F4">
        <f t="shared" si="10"/>
        <v>1</v>
      </c>
      <c r="G4">
        <v>91</v>
      </c>
      <c r="H4" t="str">
        <f>Data!A5</f>
        <v>Adel Messih</v>
      </c>
      <c r="I4" s="2" t="str">
        <f>Data!C5</f>
        <v>Sea Eagles</v>
      </c>
      <c r="J4" s="2" t="str">
        <f>Data!D5</f>
        <v>Bulldogs</v>
      </c>
      <c r="K4" s="2" t="str">
        <f>Data!E5</f>
        <v>Storm</v>
      </c>
      <c r="L4" s="2" t="str">
        <f>IF(Data!$S$3&lt;Engine!L$1,0,Data!F5)</f>
        <v>Broncos</v>
      </c>
      <c r="M4" s="2" t="str">
        <f>IF(Data!$S$3&lt;Engine!M$1,0,Data!G5)</f>
        <v>Panthers</v>
      </c>
      <c r="N4" s="2" t="str">
        <f>IF(Data!$S$3&lt;Engine!N$1,0,Data!H5)</f>
        <v>Titans</v>
      </c>
      <c r="O4" s="2" t="str">
        <f>IF(Data!$S$3&lt;Engine!O$1,0,Data!I5)</f>
        <v>Sharks</v>
      </c>
      <c r="P4" s="2" t="str">
        <f>IF(Data!$S$3&lt;Engine!P$1,0,Data!J5)</f>
        <v>Wests Tigers</v>
      </c>
      <c r="Q4" s="11" t="str">
        <f>IF(Data!B5=1,Data!K5,"No Tips")</f>
        <v>Storm</v>
      </c>
      <c r="R4" s="2">
        <f>Data!L5</f>
        <v>22</v>
      </c>
      <c r="S4" s="2">
        <f>Data!M5</f>
        <v>1192</v>
      </c>
      <c r="T4" s="1">
        <f>IF(I4="","",COUNTIF('Live Ladder'!P:P,I4)+COUNTIF('Live Ladder'!P:P,J4)+COUNTIF('Live Ladder'!P:P,K4)+COUNTIF('Live Ladder'!P:P,L4)+COUNTIF('Live Ladder'!P:P,M4)+COUNTIF('Live Ladder'!P:P,N4)+COUNTIF('Live Ladder'!P:P,O4)+COUNTIF('Live Ladder'!P:P,P4))</f>
        <v>0</v>
      </c>
      <c r="U4" s="1">
        <f>IF(I4="","",IF(COUNTIF('Live Ladder'!P:P,Engine!Q4)=1,2,IF(COUNTIF('Live Ladder'!Q:Q,Engine!Q4)=1,-2,0)))</f>
        <v>0</v>
      </c>
      <c r="V4" s="1">
        <f>IF(I4="","",IF(T4=Data!S$3,2,0))</f>
        <v>0</v>
      </c>
      <c r="W4" s="1">
        <f t="shared" si="11"/>
        <v>0</v>
      </c>
      <c r="X4" s="1">
        <f>IF(I4="",AE$2,IF(I4='Live Ladder'!B$4,'Live Ladder'!C$4,'Live Ladder'!D$4)+IF(J4='Live Ladder'!B$5,'Live Ladder'!C$5,'Live Ladder'!D$5)+IF(K4='Live Ladder'!B$6,'Live Ladder'!C$6,'Live Ladder'!D$6)+IF(L4='Live Ladder'!B$7,'Live Ladder'!C$7,'Live Ladder'!D$7)+IF(M4='Live Ladder'!B$8,'Live Ladder'!C$8,'Live Ladder'!D$8)+IF(N4='Live Ladder'!B$9,'Live Ladder'!C$9,'Live Ladder'!D$9)+IF(O4='Live Ladder'!B$10,'Live Ladder'!C$10,'Live Ladder'!D$10)+IF(P4='Live Ladder'!B$11,'Live Ladder'!C$11,'Live Ladder'!D$11))</f>
        <v>18</v>
      </c>
      <c r="Y4">
        <f t="shared" si="4"/>
        <v>22</v>
      </c>
      <c r="Z4">
        <f t="shared" si="12"/>
        <v>1210</v>
      </c>
      <c r="AA4" s="111">
        <f t="shared" si="13"/>
        <v>22.012100091000001</v>
      </c>
      <c r="AB4">
        <f>IF(Q4="No Tips","",SUM(T4:V4))</f>
        <v>0</v>
      </c>
      <c r="AC4">
        <f>IF(I4="","",IF(I4='Live Ladder'!B$4,'Live Ladder'!C$4,'Live Ladder'!D$4)+IF(J4='Live Ladder'!B$5,'Live Ladder'!C$5,'Live Ladder'!D$5)+IF(K4='Live Ladder'!B$6,'Live Ladder'!C$6,'Live Ladder'!D$6)+IF(L4='Live Ladder'!B$7,'Live Ladder'!C$7,'Live Ladder'!D$7)+IF(M4='Live Ladder'!B$8,'Live Ladder'!C$8,'Live Ladder'!D$8)+IF(N4='Live Ladder'!B$9,'Live Ladder'!C$9,'Live Ladder'!D$9)+IF(O4='Live Ladder'!B$10,'Live Ladder'!C$10,'Live Ladder'!D$10)+IF(P4='Live Ladder'!B$11,'Live Ladder'!C$11,'Live Ladder'!D$11))</f>
        <v>18</v>
      </c>
      <c r="AD4" s="3" t="s">
        <v>15</v>
      </c>
      <c r="AF4">
        <f>IF(I4="","",IF(Q4="",0,IF(AND(Q4&gt;0,COUNTIF('Stats Calculator'!$T$24:$AA$24,Q4)=1),HLOOKUP(Q4,'Stats Calculator'!$T$24:$AA$27,4,FALSE),IF(AND(Q4&gt;0,COUNTIF('Stats Calculator'!$T$25:$AA$25,Q4)=1),HLOOKUP(Q4,'Stats Calculator'!$T$25:$AA$27,3,FALSE)))))</f>
        <v>3</v>
      </c>
      <c r="AG4">
        <f>IF(I4="","",COUNTIF(I4,'Stats Calculator'!E$31)+COUNTIF(J4,'Stats Calculator'!E$32)+COUNTIF(K4,'Stats Calculator'!E$33)+COUNTIF(L4,'Stats Calculator'!E$34)+COUNTIF(M4,'Stats Calculator'!E$35)+COUNTIF(N4,'Stats Calculator'!E$36)+COUNTIF(O4,'Stats Calculator'!E$37)+COUNTIF(P4,'Stats Calculator'!E$38)-8+Data!S$3)</f>
        <v>0</v>
      </c>
      <c r="AH4">
        <f>IF(I4="","",IF(Q4="",0,IF(Q4=0,0,IF(VLOOKUP(Engine!AF4,'Stats Calculator'!B$31:E$38,4,FALSE)="",0,IF(VLOOKUP(Engine!AF4,'Stats Calculator'!B$31:E$38,4,FALSE)=Q4,2,-2)))))</f>
        <v>0</v>
      </c>
      <c r="AI4">
        <f>IF(I4="","",Data!S$3-COUNTA('Stats Calculator'!E$31:E$38))</f>
        <v>7</v>
      </c>
      <c r="AJ4">
        <f>IF(I4="","",IF(AF4=0,0,IF(VLOOKUP(AF4,'Stats Calculator'!B$31:E$38,4,FALSE)&gt;0,0,2)))</f>
        <v>2</v>
      </c>
      <c r="AK4">
        <f>IF(I4="","",IF(Data!S$3-Engine!AI4=AG4,2,0))</f>
        <v>0</v>
      </c>
      <c r="AL4">
        <f t="shared" si="14"/>
        <v>9</v>
      </c>
    </row>
    <row r="5" spans="1:38" x14ac:dyDescent="0.35">
      <c r="A5">
        <v>4</v>
      </c>
      <c r="B5">
        <f t="shared" si="0"/>
        <v>42</v>
      </c>
      <c r="C5" s="111">
        <f t="shared" si="8"/>
        <v>24.011610090000001</v>
      </c>
      <c r="D5">
        <f t="shared" si="1"/>
        <v>42</v>
      </c>
      <c r="E5" s="3" t="str">
        <f t="shared" si="9"/>
        <v>u</v>
      </c>
      <c r="F5" t="str">
        <f t="shared" si="10"/>
        <v/>
      </c>
      <c r="G5">
        <v>90</v>
      </c>
      <c r="H5" t="str">
        <f>Data!A6</f>
        <v>Admireel</v>
      </c>
      <c r="I5" s="2" t="str">
        <f>Data!C6</f>
        <v>Sea Eagles</v>
      </c>
      <c r="J5" s="2" t="str">
        <f>Data!D6</f>
        <v>Bulldogs</v>
      </c>
      <c r="K5" s="2" t="str">
        <f>Data!E6</f>
        <v>Storm</v>
      </c>
      <c r="L5" s="2" t="str">
        <f>IF(Data!$S$3&lt;Engine!L$1,0,Data!F6)</f>
        <v>Broncos</v>
      </c>
      <c r="M5" s="2" t="str">
        <f>IF(Data!$S$3&lt;Engine!M$1,0,Data!G6)</f>
        <v>Panthers</v>
      </c>
      <c r="N5" s="2" t="str">
        <f>IF(Data!$S$3&lt;Engine!N$1,0,Data!H6)</f>
        <v>Titans</v>
      </c>
      <c r="O5" s="2" t="str">
        <f>IF(Data!$S$3&lt;Engine!O$1,0,Data!I6)</f>
        <v>Knights</v>
      </c>
      <c r="P5" s="2" t="str">
        <f>IF(Data!$S$3&lt;Engine!P$1,0,Data!J6)</f>
        <v>Wests Tigers</v>
      </c>
      <c r="Q5" s="11" t="str">
        <f>IF(Data!B6=1,Data!K6,"No Tips")</f>
        <v>Storm</v>
      </c>
      <c r="R5" s="2">
        <f>Data!L6</f>
        <v>24</v>
      </c>
      <c r="S5" s="2">
        <f>Data!M6</f>
        <v>1161</v>
      </c>
      <c r="T5" s="1">
        <f>IF(I5="","",COUNTIF('Live Ladder'!P:P,I5)+COUNTIF('Live Ladder'!P:P,J5)+COUNTIF('Live Ladder'!P:P,K5)+COUNTIF('Live Ladder'!P:P,L5)+COUNTIF('Live Ladder'!P:P,M5)+COUNTIF('Live Ladder'!P:P,N5)+COUNTIF('Live Ladder'!P:P,O5)+COUNTIF('Live Ladder'!P:P,P5))</f>
        <v>0</v>
      </c>
      <c r="U5" s="1">
        <f>IF(I5="","",IF(COUNTIF('Live Ladder'!P:P,Engine!Q5)=1,2,IF(COUNTIF('Live Ladder'!Q:Q,Engine!Q5)=1,-2,0)))</f>
        <v>0</v>
      </c>
      <c r="V5" s="1">
        <f>IF(I5="","",IF(T5=Data!S$3,2,0))</f>
        <v>0</v>
      </c>
      <c r="W5" s="1">
        <f t="shared" si="11"/>
        <v>0</v>
      </c>
      <c r="X5" s="1">
        <f>IF(I5="",AE$2,IF(I5='Live Ladder'!B$4,'Live Ladder'!C$4,'Live Ladder'!D$4)+IF(J5='Live Ladder'!B$5,'Live Ladder'!C$5,'Live Ladder'!D$5)+IF(K5='Live Ladder'!B$6,'Live Ladder'!C$6,'Live Ladder'!D$6)+IF(L5='Live Ladder'!B$7,'Live Ladder'!C$7,'Live Ladder'!D$7)+IF(M5='Live Ladder'!B$8,'Live Ladder'!C$8,'Live Ladder'!D$8)+IF(N5='Live Ladder'!B$9,'Live Ladder'!C$9,'Live Ladder'!D$9)+IF(O5='Live Ladder'!B$10,'Live Ladder'!C$10,'Live Ladder'!D$10)+IF(P5='Live Ladder'!B$11,'Live Ladder'!C$11,'Live Ladder'!D$11))</f>
        <v>18</v>
      </c>
      <c r="Y5">
        <f t="shared" si="4"/>
        <v>24</v>
      </c>
      <c r="Z5">
        <f t="shared" si="12"/>
        <v>1179</v>
      </c>
      <c r="AA5" s="111">
        <f t="shared" si="13"/>
        <v>24.011790090000002</v>
      </c>
      <c r="AB5">
        <f t="shared" ref="AB5:AB6" si="15">SUM(T5:V5)</f>
        <v>0</v>
      </c>
      <c r="AC5">
        <f>IF(I5="","",IF(I5='Live Ladder'!B$4,'Live Ladder'!C$4,'Live Ladder'!D$4)+IF(J5='Live Ladder'!B$5,'Live Ladder'!C$5,'Live Ladder'!D$5)+IF(K5='Live Ladder'!B$6,'Live Ladder'!C$6,'Live Ladder'!D$6)+IF(L5='Live Ladder'!B$7,'Live Ladder'!C$7,'Live Ladder'!D$7)+IF(M5='Live Ladder'!B$8,'Live Ladder'!C$8,'Live Ladder'!D$8)+IF(N5='Live Ladder'!B$9,'Live Ladder'!C$9,'Live Ladder'!D$9)+IF(O5='Live Ladder'!B$10,'Live Ladder'!C$10,'Live Ladder'!D$10)+IF(P5='Live Ladder'!B$11,'Live Ladder'!C$11,'Live Ladder'!D$11))</f>
        <v>18</v>
      </c>
      <c r="AD5" s="3" t="s">
        <v>16</v>
      </c>
      <c r="AF5">
        <f>IF(I5="","",IF(Q5="",0,IF(AND(Q5&gt;0,COUNTIF('Stats Calculator'!$T$24:$AA$24,Q5)=1),HLOOKUP(Q5,'Stats Calculator'!$T$24:$AA$27,4,FALSE),IF(AND(Q5&gt;0,COUNTIF('Stats Calculator'!$T$25:$AA$25,Q5)=1),HLOOKUP(Q5,'Stats Calculator'!$T$25:$AA$27,3,FALSE)))))</f>
        <v>3</v>
      </c>
      <c r="AG5">
        <f>IF(I5="","",COUNTIF(I5,'Stats Calculator'!E$31)+COUNTIF(J5,'Stats Calculator'!E$32)+COUNTIF(K5,'Stats Calculator'!E$33)+COUNTIF(L5,'Stats Calculator'!E$34)+COUNTIF(M5,'Stats Calculator'!E$35)+COUNTIF(N5,'Stats Calculator'!E$36)+COUNTIF(O5,'Stats Calculator'!E$37)+COUNTIF(P5,'Stats Calculator'!E$38)-8+Data!S$3)</f>
        <v>0</v>
      </c>
      <c r="AH5">
        <f>IF(I5="","",IF(Q5="",0,IF(Q5=0,0,IF(VLOOKUP(Engine!AF5,'Stats Calculator'!B$31:E$38,4,FALSE)="",0,IF(VLOOKUP(Engine!AF5,'Stats Calculator'!B$31:E$38,4,FALSE)=Q5,2,-2)))))</f>
        <v>0</v>
      </c>
      <c r="AI5">
        <f>IF(I5="","",Data!S$3-COUNTA('Stats Calculator'!E$31:E$38))</f>
        <v>7</v>
      </c>
      <c r="AJ5">
        <f>IF(I5="","",IF(AF5=0,0,IF(VLOOKUP(AF5,'Stats Calculator'!B$31:E$38,4,FALSE)&gt;0,0,2)))</f>
        <v>2</v>
      </c>
      <c r="AK5">
        <f>IF(I5="","",IF(Data!S$3-Engine!AI5=AG5,2,0))</f>
        <v>0</v>
      </c>
      <c r="AL5">
        <f t="shared" si="14"/>
        <v>9</v>
      </c>
    </row>
    <row r="6" spans="1:38" x14ac:dyDescent="0.35">
      <c r="A6">
        <v>5</v>
      </c>
      <c r="B6">
        <f t="shared" si="0"/>
        <v>30</v>
      </c>
      <c r="C6" s="111">
        <f t="shared" si="8"/>
        <v>28.011380088999999</v>
      </c>
      <c r="D6">
        <f t="shared" si="1"/>
        <v>37</v>
      </c>
      <c r="E6" s="3" t="str">
        <f t="shared" si="9"/>
        <v>q</v>
      </c>
      <c r="F6">
        <f t="shared" si="10"/>
        <v>7</v>
      </c>
      <c r="G6">
        <v>89</v>
      </c>
      <c r="H6" t="str">
        <f>Data!A7</f>
        <v>Bart Simpson</v>
      </c>
      <c r="I6" s="2" t="str">
        <f>Data!C7</f>
        <v>Sea Eagles</v>
      </c>
      <c r="J6" s="2" t="str">
        <f>Data!D7</f>
        <v>Bulldogs</v>
      </c>
      <c r="K6" s="2" t="str">
        <f>Data!E7</f>
        <v>Storm</v>
      </c>
      <c r="L6" s="2" t="str">
        <f>IF(Data!$S$3&lt;Engine!L$1,0,Data!F7)</f>
        <v>Broncos</v>
      </c>
      <c r="M6" s="2" t="str">
        <f>IF(Data!$S$3&lt;Engine!M$1,0,Data!G7)</f>
        <v>Panthers</v>
      </c>
      <c r="N6" s="2" t="str">
        <f>IF(Data!$S$3&lt;Engine!N$1,0,Data!H7)</f>
        <v>Raiders</v>
      </c>
      <c r="O6" s="2" t="str">
        <f>IF(Data!$S$3&lt;Engine!O$1,0,Data!I7)</f>
        <v>Sharks</v>
      </c>
      <c r="P6" s="2" t="str">
        <f>IF(Data!$S$3&lt;Engine!P$1,0,Data!J7)</f>
        <v>Wests Tigers</v>
      </c>
      <c r="Q6" s="11" t="str">
        <f>IF(Data!B7=1,Data!K7,"No Tips")</f>
        <v>Sea Eagles</v>
      </c>
      <c r="R6" s="2">
        <f>Data!L7</f>
        <v>28</v>
      </c>
      <c r="S6" s="2">
        <f>Data!M7</f>
        <v>1138</v>
      </c>
      <c r="T6" s="1">
        <f>IF(I6="","",COUNTIF('Live Ladder'!P:P,I6)+COUNTIF('Live Ladder'!P:P,J6)+COUNTIF('Live Ladder'!P:P,K6)+COUNTIF('Live Ladder'!P:P,L6)+COUNTIF('Live Ladder'!P:P,M6)+COUNTIF('Live Ladder'!P:P,N6)+COUNTIF('Live Ladder'!P:P,O6)+COUNTIF('Live Ladder'!P:P,P6))</f>
        <v>0</v>
      </c>
      <c r="U6" s="1">
        <f>IF(I6="","",IF(COUNTIF('Live Ladder'!P:P,Engine!Q6)=1,2,IF(COUNTIF('Live Ladder'!Q:Q,Engine!Q6)=1,-2,0)))</f>
        <v>-2</v>
      </c>
      <c r="V6" s="1">
        <f>IF(I6="","",IF(T6=Data!S$3,2,0))</f>
        <v>0</v>
      </c>
      <c r="W6" s="1">
        <f t="shared" si="11"/>
        <v>-2</v>
      </c>
      <c r="X6" s="1">
        <f>IF(I6="",AE$2,IF(I6='Live Ladder'!B$4,'Live Ladder'!C$4,'Live Ladder'!D$4)+IF(J6='Live Ladder'!B$5,'Live Ladder'!C$5,'Live Ladder'!D$5)+IF(K6='Live Ladder'!B$6,'Live Ladder'!C$6,'Live Ladder'!D$6)+IF(L6='Live Ladder'!B$7,'Live Ladder'!C$7,'Live Ladder'!D$7)+IF(M6='Live Ladder'!B$8,'Live Ladder'!C$8,'Live Ladder'!D$8)+IF(N6='Live Ladder'!B$9,'Live Ladder'!C$9,'Live Ladder'!D$9)+IF(O6='Live Ladder'!B$10,'Live Ladder'!C$10,'Live Ladder'!D$10)+IF(P6='Live Ladder'!B$11,'Live Ladder'!C$11,'Live Ladder'!D$11))</f>
        <v>18</v>
      </c>
      <c r="Y6">
        <f t="shared" si="4"/>
        <v>26</v>
      </c>
      <c r="Z6">
        <f t="shared" si="12"/>
        <v>1156</v>
      </c>
      <c r="AA6" s="111">
        <f t="shared" si="13"/>
        <v>26.011560089</v>
      </c>
      <c r="AB6">
        <f t="shared" si="15"/>
        <v>-2</v>
      </c>
      <c r="AC6">
        <f>IF(I6="","",IF(I6='Live Ladder'!B$4,'Live Ladder'!C$4,'Live Ladder'!D$4)+IF(J6='Live Ladder'!B$5,'Live Ladder'!C$5,'Live Ladder'!D$5)+IF(K6='Live Ladder'!B$6,'Live Ladder'!C$6,'Live Ladder'!D$6)+IF(L6='Live Ladder'!B$7,'Live Ladder'!C$7,'Live Ladder'!D$7)+IF(M6='Live Ladder'!B$8,'Live Ladder'!C$8,'Live Ladder'!D$8)+IF(N6='Live Ladder'!B$9,'Live Ladder'!C$9,'Live Ladder'!D$9)+IF(O6='Live Ladder'!B$10,'Live Ladder'!C$10,'Live Ladder'!D$10)+IF(P6='Live Ladder'!B$11,'Live Ladder'!C$11,'Live Ladder'!D$11))</f>
        <v>18</v>
      </c>
      <c r="AF6">
        <f>IF(I6="","",IF(Q6="",0,IF(AND(Q6&gt;0,COUNTIF('Stats Calculator'!$T$24:$AA$24,Q6)=1),HLOOKUP(Q6,'Stats Calculator'!$T$24:$AA$27,4,FALSE),IF(AND(Q6&gt;0,COUNTIF('Stats Calculator'!$T$25:$AA$25,Q6)=1),HLOOKUP(Q6,'Stats Calculator'!$T$25:$AA$27,3,FALSE)))))</f>
        <v>1</v>
      </c>
      <c r="AG6">
        <f>IF(I6="","",COUNTIF(I6,'Stats Calculator'!E$31)+COUNTIF(J6,'Stats Calculator'!E$32)+COUNTIF(K6,'Stats Calculator'!E$33)+COUNTIF(L6,'Stats Calculator'!E$34)+COUNTIF(M6,'Stats Calculator'!E$35)+COUNTIF(N6,'Stats Calculator'!E$36)+COUNTIF(O6,'Stats Calculator'!E$37)+COUNTIF(P6,'Stats Calculator'!E$38)-8+Data!S$3)</f>
        <v>0</v>
      </c>
      <c r="AH6">
        <f>IF(I6="","",IF(Q6="",0,IF(Q6=0,0,IF(VLOOKUP(Engine!AF6,'Stats Calculator'!B$31:E$38,4,FALSE)="",0,IF(VLOOKUP(Engine!AF6,'Stats Calculator'!B$31:E$38,4,FALSE)=Q6,2,-2)))))</f>
        <v>-2</v>
      </c>
      <c r="AI6">
        <f>IF(I6="","",Data!S$3-COUNTA('Stats Calculator'!E$31:E$38))</f>
        <v>7</v>
      </c>
      <c r="AJ6">
        <f>IF(I6="","",IF(AF6=0,0,IF(VLOOKUP(AF6,'Stats Calculator'!B$31:E$38,4,FALSE)&gt;0,0,2)))</f>
        <v>0</v>
      </c>
      <c r="AK6">
        <f>IF(I6="","",IF(Data!S$3-Engine!AI6=AG6,2,0))</f>
        <v>0</v>
      </c>
      <c r="AL6">
        <f t="shared" si="14"/>
        <v>5</v>
      </c>
    </row>
    <row r="7" spans="1:38" x14ac:dyDescent="0.35">
      <c r="A7">
        <v>6</v>
      </c>
      <c r="B7">
        <f t="shared" si="0"/>
        <v>18</v>
      </c>
      <c r="C7" s="111">
        <f t="shared" si="8"/>
        <v>31.011690088000002</v>
      </c>
      <c r="D7">
        <f t="shared" si="1"/>
        <v>17</v>
      </c>
      <c r="E7" s="3" t="str">
        <f t="shared" si="9"/>
        <v>p</v>
      </c>
      <c r="F7">
        <f t="shared" si="10"/>
        <v>1</v>
      </c>
      <c r="G7">
        <v>88</v>
      </c>
      <c r="H7" t="str">
        <f>Data!A8</f>
        <v>Big Baba</v>
      </c>
      <c r="I7" s="2" t="str">
        <f>Data!C8</f>
        <v>Sea Eagles</v>
      </c>
      <c r="J7" s="2" t="str">
        <f>Data!D8</f>
        <v>Bulldogs</v>
      </c>
      <c r="K7" s="2" t="str">
        <f>Data!E8</f>
        <v>Storm</v>
      </c>
      <c r="L7" s="2" t="str">
        <f>IF(Data!$S$3&lt;Engine!L$1,0,Data!F8)</f>
        <v>Broncos</v>
      </c>
      <c r="M7" s="2" t="str">
        <f>IF(Data!$S$3&lt;Engine!M$1,0,Data!G8)</f>
        <v>Roosters</v>
      </c>
      <c r="N7" s="2" t="str">
        <f>IF(Data!$S$3&lt;Engine!N$1,0,Data!H8)</f>
        <v>Titans</v>
      </c>
      <c r="O7" s="2" t="str">
        <f>IF(Data!$S$3&lt;Engine!O$1,0,Data!I8)</f>
        <v>Sharks</v>
      </c>
      <c r="P7" s="2" t="str">
        <f>IF(Data!$S$3&lt;Engine!P$1,0,Data!J8)</f>
        <v>Wests Tigers</v>
      </c>
      <c r="Q7" s="11" t="str">
        <f>IF(Data!B8=1,Data!K8,"No Tips")</f>
        <v>Bulldogs</v>
      </c>
      <c r="R7" s="2">
        <f>Data!L8</f>
        <v>31</v>
      </c>
      <c r="S7" s="2">
        <f>Data!M8</f>
        <v>1169</v>
      </c>
      <c r="T7" s="1">
        <f>IF(I7="","",COUNTIF('Live Ladder'!P:P,I7)+COUNTIF('Live Ladder'!P:P,J7)+COUNTIF('Live Ladder'!P:P,K7)+COUNTIF('Live Ladder'!P:P,L7)+COUNTIF('Live Ladder'!P:P,M7)+COUNTIF('Live Ladder'!P:P,N7)+COUNTIF('Live Ladder'!P:P,O7)+COUNTIF('Live Ladder'!P:P,P7))</f>
        <v>0</v>
      </c>
      <c r="U7" s="1">
        <f>IF(I7="","",IF(COUNTIF('Live Ladder'!P:P,Engine!Q7)=1,2,IF(COUNTIF('Live Ladder'!Q:Q,Engine!Q7)=1,-2,0)))</f>
        <v>0</v>
      </c>
      <c r="V7" s="1">
        <f>IF(I7="","",IF(T7=Data!S$3,2,0))</f>
        <v>0</v>
      </c>
      <c r="W7" s="1">
        <f t="shared" si="11"/>
        <v>0</v>
      </c>
      <c r="X7" s="1">
        <f>IF(I7="",AE$2,IF(I7='Live Ladder'!B$4,'Live Ladder'!C$4,'Live Ladder'!D$4)+IF(J7='Live Ladder'!B$5,'Live Ladder'!C$5,'Live Ladder'!D$5)+IF(K7='Live Ladder'!B$6,'Live Ladder'!C$6,'Live Ladder'!D$6)+IF(L7='Live Ladder'!B$7,'Live Ladder'!C$7,'Live Ladder'!D$7)+IF(M7='Live Ladder'!B$8,'Live Ladder'!C$8,'Live Ladder'!D$8)+IF(N7='Live Ladder'!B$9,'Live Ladder'!C$9,'Live Ladder'!D$9)+IF(O7='Live Ladder'!B$10,'Live Ladder'!C$10,'Live Ladder'!D$10)+IF(P7='Live Ladder'!B$11,'Live Ladder'!C$11,'Live Ladder'!D$11))</f>
        <v>18</v>
      </c>
      <c r="Y7">
        <f t="shared" si="4"/>
        <v>31</v>
      </c>
      <c r="Z7">
        <f t="shared" si="12"/>
        <v>1187</v>
      </c>
      <c r="AA7" s="111">
        <f t="shared" si="13"/>
        <v>31.011870087999998</v>
      </c>
      <c r="AB7">
        <f t="shared" ref="AB7:AB66" si="16">SUM(T7:V7)</f>
        <v>0</v>
      </c>
      <c r="AC7">
        <f>IF(I7="","",IF(I7='Live Ladder'!B$4,'Live Ladder'!C$4,'Live Ladder'!D$4)+IF(J7='Live Ladder'!B$5,'Live Ladder'!C$5,'Live Ladder'!D$5)+IF(K7='Live Ladder'!B$6,'Live Ladder'!C$6,'Live Ladder'!D$6)+IF(L7='Live Ladder'!B$7,'Live Ladder'!C$7,'Live Ladder'!D$7)+IF(M7='Live Ladder'!B$8,'Live Ladder'!C$8,'Live Ladder'!D$8)+IF(N7='Live Ladder'!B$9,'Live Ladder'!C$9,'Live Ladder'!D$9)+IF(O7='Live Ladder'!B$10,'Live Ladder'!C$10,'Live Ladder'!D$10)+IF(P7='Live Ladder'!B$11,'Live Ladder'!C$11,'Live Ladder'!D$11))</f>
        <v>18</v>
      </c>
      <c r="AF7">
        <f>IF(I7="","",IF(Q7="",0,IF(AND(Q7&gt;0,COUNTIF('Stats Calculator'!$T$24:$AA$24,Q7)=1),HLOOKUP(Q7,'Stats Calculator'!$T$24:$AA$27,4,FALSE),IF(AND(Q7&gt;0,COUNTIF('Stats Calculator'!$T$25:$AA$25,Q7)=1),HLOOKUP(Q7,'Stats Calculator'!$T$25:$AA$27,3,FALSE)))))</f>
        <v>2</v>
      </c>
      <c r="AG7">
        <f>IF(I7="","",COUNTIF(I7,'Stats Calculator'!E$31)+COUNTIF(J7,'Stats Calculator'!E$32)+COUNTIF(K7,'Stats Calculator'!E$33)+COUNTIF(L7,'Stats Calculator'!E$34)+COUNTIF(M7,'Stats Calculator'!E$35)+COUNTIF(N7,'Stats Calculator'!E$36)+COUNTIF(O7,'Stats Calculator'!E$37)+COUNTIF(P7,'Stats Calculator'!E$38)-8+Data!S$3)</f>
        <v>0</v>
      </c>
      <c r="AH7">
        <f>IF(I7="","",IF(Q7="",0,IF(Q7=0,0,IF(VLOOKUP(Engine!AF7,'Stats Calculator'!B$31:E$38,4,FALSE)="",0,IF(VLOOKUP(Engine!AF7,'Stats Calculator'!B$31:E$38,4,FALSE)=Q7,2,-2)))))</f>
        <v>0</v>
      </c>
      <c r="AI7">
        <f>IF(I7="","",Data!S$3-COUNTA('Stats Calculator'!E$31:E$38))</f>
        <v>7</v>
      </c>
      <c r="AJ7">
        <f>IF(I7="","",IF(AF7=0,0,IF(VLOOKUP(AF7,'Stats Calculator'!B$31:E$38,4,FALSE)&gt;0,0,2)))</f>
        <v>2</v>
      </c>
      <c r="AK7">
        <f>IF(I7="","",IF(Data!S$3-Engine!AI7=AG7,2,0))</f>
        <v>0</v>
      </c>
      <c r="AL7">
        <f t="shared" si="14"/>
        <v>9</v>
      </c>
    </row>
    <row r="8" spans="1:38" s="108" customFormat="1" x14ac:dyDescent="0.35">
      <c r="A8" s="108">
        <v>7</v>
      </c>
      <c r="B8" s="108">
        <f t="shared" si="0"/>
        <v>6</v>
      </c>
      <c r="C8" s="111">
        <f t="shared" si="8"/>
        <v>35.011930086999996</v>
      </c>
      <c r="D8" s="108">
        <f t="shared" si="1"/>
        <v>6</v>
      </c>
      <c r="E8" s="109" t="str">
        <f t="shared" si="9"/>
        <v>u</v>
      </c>
      <c r="F8" s="108" t="str">
        <f t="shared" si="10"/>
        <v/>
      </c>
      <c r="G8">
        <v>87</v>
      </c>
      <c r="H8" t="str">
        <f>Data!A9</f>
        <v>Big Moose</v>
      </c>
      <c r="I8" s="2" t="str">
        <f>Data!C9</f>
        <v>Sea Eagles</v>
      </c>
      <c r="J8" s="2" t="str">
        <f>Data!D9</f>
        <v>Bulldogs</v>
      </c>
      <c r="K8" s="2" t="str">
        <f>Data!E9</f>
        <v>Storm</v>
      </c>
      <c r="L8" s="2" t="str">
        <f>IF(Data!$S$3&lt;Engine!L$1,0,Data!F9)</f>
        <v>Broncos</v>
      </c>
      <c r="M8" s="2" t="str">
        <f>IF(Data!$S$3&lt;Engine!M$1,0,Data!G9)</f>
        <v>Panthers</v>
      </c>
      <c r="N8" s="2" t="str">
        <f>IF(Data!$S$3&lt;Engine!N$1,0,Data!H9)</f>
        <v>Raiders</v>
      </c>
      <c r="O8" s="2" t="str">
        <f>IF(Data!$S$3&lt;Engine!O$1,0,Data!I9)</f>
        <v>Sharks</v>
      </c>
      <c r="P8" s="2" t="str">
        <f>IF(Data!$S$3&lt;Engine!P$1,0,Data!J9)</f>
        <v>Wests Tigers</v>
      </c>
      <c r="Q8" s="11" t="str">
        <f>IF(Data!B9=1,Data!K9,"No Tips")</f>
        <v>Storm</v>
      </c>
      <c r="R8" s="2">
        <f>Data!L9</f>
        <v>35</v>
      </c>
      <c r="S8" s="2">
        <f>Data!M9</f>
        <v>1193</v>
      </c>
      <c r="T8" s="110">
        <f>IF(I8="","",COUNTIF('Live Ladder'!P:P,I8)+COUNTIF('Live Ladder'!P:P,J8)+COUNTIF('Live Ladder'!P:P,K8)+COUNTIF('Live Ladder'!P:P,L8)+COUNTIF('Live Ladder'!P:P,M8)+COUNTIF('Live Ladder'!P:P,N8)+COUNTIF('Live Ladder'!P:P,O8)+COUNTIF('Live Ladder'!P:P,P8))</f>
        <v>0</v>
      </c>
      <c r="U8" s="110">
        <f>IF(I8="","",IF(COUNTIF('Live Ladder'!P:P,Engine!Q8)=1,2,IF(COUNTIF('Live Ladder'!Q:Q,Engine!Q8)=1,-2,0)))</f>
        <v>0</v>
      </c>
      <c r="V8" s="110">
        <f>IF(I8="","",IF(T8=Data!S$3,2,0))</f>
        <v>0</v>
      </c>
      <c r="W8" s="110">
        <f t="shared" si="11"/>
        <v>0</v>
      </c>
      <c r="X8" s="110">
        <f>IF(I8="",AE$2,IF(I8='Live Ladder'!B$4,'Live Ladder'!C$4,'Live Ladder'!D$4)+IF(J8='Live Ladder'!B$5,'Live Ladder'!C$5,'Live Ladder'!D$5)+IF(K8='Live Ladder'!B$6,'Live Ladder'!C$6,'Live Ladder'!D$6)+IF(L8='Live Ladder'!B$7,'Live Ladder'!C$7,'Live Ladder'!D$7)+IF(M8='Live Ladder'!B$8,'Live Ladder'!C$8,'Live Ladder'!D$8)+IF(N8='Live Ladder'!B$9,'Live Ladder'!C$9,'Live Ladder'!D$9)+IF(O8='Live Ladder'!B$10,'Live Ladder'!C$10,'Live Ladder'!D$10)+IF(P8='Live Ladder'!B$11,'Live Ladder'!C$11,'Live Ladder'!D$11))</f>
        <v>18</v>
      </c>
      <c r="Y8" s="108">
        <f t="shared" si="4"/>
        <v>35</v>
      </c>
      <c r="Z8" s="108">
        <f t="shared" si="12"/>
        <v>1211</v>
      </c>
      <c r="AA8" s="111">
        <f t="shared" si="13"/>
        <v>35.012110086999996</v>
      </c>
      <c r="AB8" s="108">
        <f t="shared" si="16"/>
        <v>0</v>
      </c>
      <c r="AC8" s="108">
        <f>IF(I8="","",IF(I8='Live Ladder'!B$4,'Live Ladder'!C$4,'Live Ladder'!D$4)+IF(J8='Live Ladder'!B$5,'Live Ladder'!C$5,'Live Ladder'!D$5)+IF(K8='Live Ladder'!B$6,'Live Ladder'!C$6,'Live Ladder'!D$6)+IF(L8='Live Ladder'!B$7,'Live Ladder'!C$7,'Live Ladder'!D$7)+IF(M8='Live Ladder'!B$8,'Live Ladder'!C$8,'Live Ladder'!D$8)+IF(N8='Live Ladder'!B$9,'Live Ladder'!C$9,'Live Ladder'!D$9)+IF(O8='Live Ladder'!B$10,'Live Ladder'!C$10,'Live Ladder'!D$10)+IF(P8='Live Ladder'!B$11,'Live Ladder'!C$11,'Live Ladder'!D$11))</f>
        <v>18</v>
      </c>
      <c r="AF8" s="108">
        <f>IF(I8="","",IF(Q8="",0,IF(AND(Q8&gt;0,COUNTIF('Stats Calculator'!$T$24:$AA$24,Q8)=1),HLOOKUP(Q8,'Stats Calculator'!$T$24:$AA$27,4,FALSE),IF(AND(Q8&gt;0,COUNTIF('Stats Calculator'!$T$25:$AA$25,Q8)=1),HLOOKUP(Q8,'Stats Calculator'!$T$25:$AA$27,3,FALSE)))))</f>
        <v>3</v>
      </c>
      <c r="AG8" s="108">
        <f>IF(I8="","",COUNTIF(I8,'Stats Calculator'!E$31)+COUNTIF(J8,'Stats Calculator'!E$32)+COUNTIF(K8,'Stats Calculator'!E$33)+COUNTIF(L8,'Stats Calculator'!E$34)+COUNTIF(M8,'Stats Calculator'!E$35)+COUNTIF(N8,'Stats Calculator'!E$36)+COUNTIF(O8,'Stats Calculator'!E$37)+COUNTIF(P8,'Stats Calculator'!E$38)-8+Data!S$3)</f>
        <v>0</v>
      </c>
      <c r="AH8" s="108">
        <f>IF(I8="","",IF(Q8="",0,IF(Q8=0,0,IF(VLOOKUP(Engine!AF8,'Stats Calculator'!B$31:E$38,4,FALSE)="",0,IF(VLOOKUP(Engine!AF8,'Stats Calculator'!B$31:E$38,4,FALSE)=Q8,2,-2)))))</f>
        <v>0</v>
      </c>
      <c r="AI8" s="108">
        <f>IF(I8="","",Data!S$3-COUNTA('Stats Calculator'!E$31:E$38))</f>
        <v>7</v>
      </c>
      <c r="AJ8" s="108">
        <f>IF(I8="","",IF(AF8=0,0,IF(VLOOKUP(AF8,'Stats Calculator'!B$31:E$38,4,FALSE)&gt;0,0,2)))</f>
        <v>2</v>
      </c>
      <c r="AK8" s="108">
        <f>IF(I8="","",IF(Data!S$3-Engine!AI8=AG8,2,0))</f>
        <v>0</v>
      </c>
      <c r="AL8" s="108">
        <f t="shared" si="14"/>
        <v>9</v>
      </c>
    </row>
    <row r="9" spans="1:38" x14ac:dyDescent="0.35">
      <c r="A9">
        <v>8</v>
      </c>
      <c r="B9">
        <f t="shared" si="0"/>
        <v>47</v>
      </c>
      <c r="C9" s="111">
        <f t="shared" si="8"/>
        <v>22.011560085999999</v>
      </c>
      <c r="D9">
        <f t="shared" si="1"/>
        <v>46</v>
      </c>
      <c r="E9" s="3" t="str">
        <f t="shared" si="9"/>
        <v>p</v>
      </c>
      <c r="F9">
        <f t="shared" si="10"/>
        <v>1</v>
      </c>
      <c r="G9">
        <v>86</v>
      </c>
      <c r="H9" t="str">
        <f>Data!A10</f>
        <v>BillyB</v>
      </c>
      <c r="I9" s="2" t="str">
        <f>Data!C10</f>
        <v>Sea Eagles</v>
      </c>
      <c r="J9" s="2" t="str">
        <f>Data!D10</f>
        <v>Bulldogs</v>
      </c>
      <c r="K9" s="2" t="str">
        <f>Data!E10</f>
        <v>Dolphins</v>
      </c>
      <c r="L9" s="2" t="str">
        <f>IF(Data!$S$3&lt;Engine!L$1,0,Data!F10)</f>
        <v>Broncos</v>
      </c>
      <c r="M9" s="2" t="str">
        <f>IF(Data!$S$3&lt;Engine!M$1,0,Data!G10)</f>
        <v>Panthers</v>
      </c>
      <c r="N9" s="2" t="str">
        <f>IF(Data!$S$3&lt;Engine!N$1,0,Data!H10)</f>
        <v>Raiders</v>
      </c>
      <c r="O9" s="2" t="str">
        <f>IF(Data!$S$3&lt;Engine!O$1,0,Data!I10)</f>
        <v>Sharks</v>
      </c>
      <c r="P9" s="2" t="str">
        <f>IF(Data!$S$3&lt;Engine!P$1,0,Data!J10)</f>
        <v>Wests Tigers</v>
      </c>
      <c r="Q9" s="11" t="str">
        <f>IF(Data!B10=1,Data!K10,"No Tips")</f>
        <v>Bulldogs</v>
      </c>
      <c r="R9" s="2">
        <f>Data!L10</f>
        <v>22</v>
      </c>
      <c r="S9" s="2">
        <f>Data!M10</f>
        <v>1156</v>
      </c>
      <c r="T9" s="1">
        <f>IF(I9="","",COUNTIF('Live Ladder'!P:P,I9)+COUNTIF('Live Ladder'!P:P,J9)+COUNTIF('Live Ladder'!P:P,K9)+COUNTIF('Live Ladder'!P:P,L9)+COUNTIF('Live Ladder'!P:P,M9)+COUNTIF('Live Ladder'!P:P,N9)+COUNTIF('Live Ladder'!P:P,O9)+COUNTIF('Live Ladder'!P:P,P9))</f>
        <v>0</v>
      </c>
      <c r="U9" s="1">
        <f>IF(I9="","",IF(COUNTIF('Live Ladder'!P:P,Engine!Q9)=1,2,IF(COUNTIF('Live Ladder'!Q:Q,Engine!Q9)=1,-2,0)))</f>
        <v>0</v>
      </c>
      <c r="V9" s="1">
        <f>IF(I9="","",IF(T9=Data!S$3,2,0))</f>
        <v>0</v>
      </c>
      <c r="W9" s="1">
        <f t="shared" si="11"/>
        <v>0</v>
      </c>
      <c r="X9" s="1">
        <f>IF(I9="",AE$2,IF(I9='Live Ladder'!B$4,'Live Ladder'!C$4,'Live Ladder'!D$4)+IF(J9='Live Ladder'!B$5,'Live Ladder'!C$5,'Live Ladder'!D$5)+IF(K9='Live Ladder'!B$6,'Live Ladder'!C$6,'Live Ladder'!D$6)+IF(L9='Live Ladder'!B$7,'Live Ladder'!C$7,'Live Ladder'!D$7)+IF(M9='Live Ladder'!B$8,'Live Ladder'!C$8,'Live Ladder'!D$8)+IF(N9='Live Ladder'!B$9,'Live Ladder'!C$9,'Live Ladder'!D$9)+IF(O9='Live Ladder'!B$10,'Live Ladder'!C$10,'Live Ladder'!D$10)+IF(P9='Live Ladder'!B$11,'Live Ladder'!C$11,'Live Ladder'!D$11))</f>
        <v>18</v>
      </c>
      <c r="Y9">
        <f t="shared" si="4"/>
        <v>22</v>
      </c>
      <c r="Z9">
        <f t="shared" si="12"/>
        <v>1174</v>
      </c>
      <c r="AA9" s="111">
        <f t="shared" si="13"/>
        <v>22.011740086</v>
      </c>
      <c r="AB9">
        <f t="shared" si="16"/>
        <v>0</v>
      </c>
      <c r="AC9">
        <f>IF(I9="","",IF(I9='Live Ladder'!B$4,'Live Ladder'!C$4,'Live Ladder'!D$4)+IF(J9='Live Ladder'!B$5,'Live Ladder'!C$5,'Live Ladder'!D$5)+IF(K9='Live Ladder'!B$6,'Live Ladder'!C$6,'Live Ladder'!D$6)+IF(L9='Live Ladder'!B$7,'Live Ladder'!C$7,'Live Ladder'!D$7)+IF(M9='Live Ladder'!B$8,'Live Ladder'!C$8,'Live Ladder'!D$8)+IF(N9='Live Ladder'!B$9,'Live Ladder'!C$9,'Live Ladder'!D$9)+IF(O9='Live Ladder'!B$10,'Live Ladder'!C$10,'Live Ladder'!D$10)+IF(P9='Live Ladder'!B$11,'Live Ladder'!C$11,'Live Ladder'!D$11))</f>
        <v>18</v>
      </c>
      <c r="AF9">
        <f>IF(I9="","",IF(Q9="",0,IF(AND(Q9&gt;0,COUNTIF('Stats Calculator'!$T$24:$AA$24,Q9)=1),HLOOKUP(Q9,'Stats Calculator'!$T$24:$AA$27,4,FALSE),IF(AND(Q9&gt;0,COUNTIF('Stats Calculator'!$T$25:$AA$25,Q9)=1),HLOOKUP(Q9,'Stats Calculator'!$T$25:$AA$27,3,FALSE)))))</f>
        <v>2</v>
      </c>
      <c r="AG9">
        <f>IF(I9="","",COUNTIF(I9,'Stats Calculator'!E$31)+COUNTIF(J9,'Stats Calculator'!E$32)+COUNTIF(K9,'Stats Calculator'!E$33)+COUNTIF(L9,'Stats Calculator'!E$34)+COUNTIF(M9,'Stats Calculator'!E$35)+COUNTIF(N9,'Stats Calculator'!E$36)+COUNTIF(O9,'Stats Calculator'!E$37)+COUNTIF(P9,'Stats Calculator'!E$38)-8+Data!S$3)</f>
        <v>0</v>
      </c>
      <c r="AH9">
        <f>IF(I9="","",IF(Q9="",0,IF(Q9=0,0,IF(VLOOKUP(Engine!AF9,'Stats Calculator'!B$31:E$38,4,FALSE)="",0,IF(VLOOKUP(Engine!AF9,'Stats Calculator'!B$31:E$38,4,FALSE)=Q9,2,-2)))))</f>
        <v>0</v>
      </c>
      <c r="AI9">
        <f>IF(I9="","",Data!S$3-COUNTA('Stats Calculator'!E$31:E$38))</f>
        <v>7</v>
      </c>
      <c r="AJ9">
        <f>IF(I9="","",IF(AF9=0,0,IF(VLOOKUP(AF9,'Stats Calculator'!B$31:E$38,4,FALSE)&gt;0,0,2)))</f>
        <v>2</v>
      </c>
      <c r="AK9">
        <f>IF(I9="","",IF(Data!S$3-Engine!AI9=AG9,2,0))</f>
        <v>0</v>
      </c>
      <c r="AL9">
        <f t="shared" si="14"/>
        <v>9</v>
      </c>
    </row>
    <row r="10" spans="1:38" x14ac:dyDescent="0.35">
      <c r="A10">
        <v>9</v>
      </c>
      <c r="B10">
        <f t="shared" si="0"/>
        <v>53</v>
      </c>
      <c r="C10" s="111">
        <f t="shared" si="8"/>
        <v>20.010360084999999</v>
      </c>
      <c r="D10">
        <f t="shared" si="1"/>
        <v>51</v>
      </c>
      <c r="E10" s="3" t="str">
        <f t="shared" si="9"/>
        <v>p</v>
      </c>
      <c r="F10">
        <f t="shared" si="10"/>
        <v>2</v>
      </c>
      <c r="G10">
        <v>85</v>
      </c>
      <c r="H10" t="str">
        <f>Data!A11</f>
        <v>blakey94</v>
      </c>
      <c r="I10" s="2" t="str">
        <f>Data!C11</f>
        <v>Dragons</v>
      </c>
      <c r="J10" s="2" t="str">
        <f>Data!D11</f>
        <v>Bulldogs</v>
      </c>
      <c r="K10" s="2" t="str">
        <f>Data!E11</f>
        <v>Storm</v>
      </c>
      <c r="L10" s="2" t="str">
        <f>IF(Data!$S$3&lt;Engine!L$1,0,Data!F11)</f>
        <v>Warriors</v>
      </c>
      <c r="M10" s="2" t="str">
        <f>IF(Data!$S$3&lt;Engine!M$1,0,Data!G11)</f>
        <v>Roosters</v>
      </c>
      <c r="N10" s="2" t="str">
        <f>IF(Data!$S$3&lt;Engine!N$1,0,Data!H11)</f>
        <v>Raiders</v>
      </c>
      <c r="O10" s="2" t="str">
        <f>IF(Data!$S$3&lt;Engine!O$1,0,Data!I11)</f>
        <v>Sharks</v>
      </c>
      <c r="P10" s="2" t="str">
        <f>IF(Data!$S$3&lt;Engine!P$1,0,Data!J11)</f>
        <v>Eels</v>
      </c>
      <c r="Q10" s="11" t="str">
        <f>IF(Data!B11=1,Data!K11,"No Tips")</f>
        <v>Storm</v>
      </c>
      <c r="R10" s="2">
        <f>Data!L11</f>
        <v>20</v>
      </c>
      <c r="S10" s="2">
        <f>Data!M11</f>
        <v>1036</v>
      </c>
      <c r="T10" s="1">
        <f>IF(I10="","",COUNTIF('Live Ladder'!P:P,I10)+COUNTIF('Live Ladder'!P:P,J10)+COUNTIF('Live Ladder'!P:P,K10)+COUNTIF('Live Ladder'!P:P,L10)+COUNTIF('Live Ladder'!P:P,M10)+COUNTIF('Live Ladder'!P:P,N10)+COUNTIF('Live Ladder'!P:P,O10)+COUNTIF('Live Ladder'!P:P,P10))</f>
        <v>1</v>
      </c>
      <c r="U10" s="1">
        <f>IF(I10="","",IF(COUNTIF('Live Ladder'!P:P,Engine!Q10)=1,2,IF(COUNTIF('Live Ladder'!Q:Q,Engine!Q10)=1,-2,0)))</f>
        <v>0</v>
      </c>
      <c r="V10" s="1">
        <f>IF(I10="","",IF(T10=Data!S$3,2,0))</f>
        <v>0</v>
      </c>
      <c r="W10" s="1">
        <f t="shared" si="11"/>
        <v>1</v>
      </c>
      <c r="X10" s="1">
        <f>IF(I10="",AE$2,IF(I10='Live Ladder'!B$4,'Live Ladder'!C$4,'Live Ladder'!D$4)+IF(J10='Live Ladder'!B$5,'Live Ladder'!C$5,'Live Ladder'!D$5)+IF(K10='Live Ladder'!B$6,'Live Ladder'!C$6,'Live Ladder'!D$6)+IF(L10='Live Ladder'!B$7,'Live Ladder'!C$7,'Live Ladder'!D$7)+IF(M10='Live Ladder'!B$8,'Live Ladder'!C$8,'Live Ladder'!D$8)+IF(N10='Live Ladder'!B$9,'Live Ladder'!C$9,'Live Ladder'!D$9)+IF(O10='Live Ladder'!B$10,'Live Ladder'!C$10,'Live Ladder'!D$10)+IF(P10='Live Ladder'!B$11,'Live Ladder'!C$11,'Live Ladder'!D$11))</f>
        <v>20</v>
      </c>
      <c r="Y10">
        <f t="shared" si="4"/>
        <v>21</v>
      </c>
      <c r="Z10">
        <f t="shared" si="12"/>
        <v>1056</v>
      </c>
      <c r="AA10" s="111">
        <f t="shared" si="13"/>
        <v>21.010560085000002</v>
      </c>
      <c r="AB10">
        <f t="shared" si="16"/>
        <v>1</v>
      </c>
      <c r="AC10">
        <f>IF(I10="","",IF(I10='Live Ladder'!B$4,'Live Ladder'!C$4,'Live Ladder'!D$4)+IF(J10='Live Ladder'!B$5,'Live Ladder'!C$5,'Live Ladder'!D$5)+IF(K10='Live Ladder'!B$6,'Live Ladder'!C$6,'Live Ladder'!D$6)+IF(L10='Live Ladder'!B$7,'Live Ladder'!C$7,'Live Ladder'!D$7)+IF(M10='Live Ladder'!B$8,'Live Ladder'!C$8,'Live Ladder'!D$8)+IF(N10='Live Ladder'!B$9,'Live Ladder'!C$9,'Live Ladder'!D$9)+IF(O10='Live Ladder'!B$10,'Live Ladder'!C$10,'Live Ladder'!D$10)+IF(P10='Live Ladder'!B$11,'Live Ladder'!C$11,'Live Ladder'!D$11))</f>
        <v>20</v>
      </c>
      <c r="AF10">
        <f>IF(I10="","",IF(Q10="",0,IF(AND(Q10&gt;0,COUNTIF('Stats Calculator'!$T$24:$AA$24,Q10)=1),HLOOKUP(Q10,'Stats Calculator'!$T$24:$AA$27,4,FALSE),IF(AND(Q10&gt;0,COUNTIF('Stats Calculator'!$T$25:$AA$25,Q10)=1),HLOOKUP(Q10,'Stats Calculator'!$T$25:$AA$27,3,FALSE)))))</f>
        <v>3</v>
      </c>
      <c r="AG10">
        <f>IF(I10="","",COUNTIF(I10,'Stats Calculator'!E$31)+COUNTIF(J10,'Stats Calculator'!E$32)+COUNTIF(K10,'Stats Calculator'!E$33)+COUNTIF(L10,'Stats Calculator'!E$34)+COUNTIF(M10,'Stats Calculator'!E$35)+COUNTIF(N10,'Stats Calculator'!E$36)+COUNTIF(O10,'Stats Calculator'!E$37)+COUNTIF(P10,'Stats Calculator'!E$38)-8+Data!S$3)</f>
        <v>1</v>
      </c>
      <c r="AH10">
        <f>IF(I10="","",IF(Q10="",0,IF(Q10=0,0,IF(VLOOKUP(Engine!AF10,'Stats Calculator'!B$31:E$38,4,FALSE)="",0,IF(VLOOKUP(Engine!AF10,'Stats Calculator'!B$31:E$38,4,FALSE)=Q10,2,-2)))))</f>
        <v>0</v>
      </c>
      <c r="AI10">
        <f>IF(I10="","",Data!S$3-COUNTA('Stats Calculator'!E$31:E$38))</f>
        <v>7</v>
      </c>
      <c r="AJ10">
        <f>IF(I10="","",IF(AF10=0,0,IF(VLOOKUP(AF10,'Stats Calculator'!B$31:E$38,4,FALSE)&gt;0,0,2)))</f>
        <v>2</v>
      </c>
      <c r="AK10">
        <f>IF(I10="","",IF(Data!S$3-Engine!AI10=AG10,2,0))</f>
        <v>2</v>
      </c>
      <c r="AL10">
        <f t="shared" si="14"/>
        <v>12</v>
      </c>
    </row>
    <row r="11" spans="1:38" x14ac:dyDescent="0.35">
      <c r="A11">
        <v>10</v>
      </c>
      <c r="B11">
        <f t="shared" si="0"/>
        <v>28</v>
      </c>
      <c r="C11" s="111">
        <f t="shared" si="8"/>
        <v>28.011630084</v>
      </c>
      <c r="D11">
        <f t="shared" si="1"/>
        <v>26</v>
      </c>
      <c r="E11" s="3" t="str">
        <f t="shared" si="9"/>
        <v>p</v>
      </c>
      <c r="F11">
        <f t="shared" si="10"/>
        <v>2</v>
      </c>
      <c r="G11">
        <v>84</v>
      </c>
      <c r="H11" t="str">
        <f>Data!A12</f>
        <v>Bridie</v>
      </c>
      <c r="I11" s="2" t="str">
        <f>Data!C12</f>
        <v>Dragons</v>
      </c>
      <c r="J11" s="2" t="str">
        <f>Data!D12</f>
        <v>Bulldogs</v>
      </c>
      <c r="K11" s="2" t="str">
        <f>Data!E12</f>
        <v>Storm</v>
      </c>
      <c r="L11" s="2" t="str">
        <f>IF(Data!$S$3&lt;Engine!L$1,0,Data!F12)</f>
        <v>Broncos</v>
      </c>
      <c r="M11" s="2" t="str">
        <f>IF(Data!$S$3&lt;Engine!M$1,0,Data!G12)</f>
        <v>Panthers</v>
      </c>
      <c r="N11" s="2" t="str">
        <f>IF(Data!$S$3&lt;Engine!N$1,0,Data!H12)</f>
        <v>Raiders</v>
      </c>
      <c r="O11" s="2" t="str">
        <f>IF(Data!$S$3&lt;Engine!O$1,0,Data!I12)</f>
        <v>Sharks</v>
      </c>
      <c r="P11" s="2" t="str">
        <f>IF(Data!$S$3&lt;Engine!P$1,0,Data!J12)</f>
        <v>Wests Tigers</v>
      </c>
      <c r="Q11" s="11" t="str">
        <f>IF(Data!B12=1,Data!K12,"No Tips")</f>
        <v>Storm</v>
      </c>
      <c r="R11" s="2">
        <f>Data!L12</f>
        <v>28</v>
      </c>
      <c r="S11" s="2">
        <f>Data!M12</f>
        <v>1163</v>
      </c>
      <c r="T11" s="1">
        <f>IF(I11="","",COUNTIF('Live Ladder'!P:P,I11)+COUNTIF('Live Ladder'!P:P,J11)+COUNTIF('Live Ladder'!P:P,K11)+COUNTIF('Live Ladder'!P:P,L11)+COUNTIF('Live Ladder'!P:P,M11)+COUNTIF('Live Ladder'!P:P,N11)+COUNTIF('Live Ladder'!P:P,O11)+COUNTIF('Live Ladder'!P:P,P11))</f>
        <v>1</v>
      </c>
      <c r="U11" s="1">
        <f>IF(I11="","",IF(COUNTIF('Live Ladder'!P:P,Engine!Q11)=1,2,IF(COUNTIF('Live Ladder'!Q:Q,Engine!Q11)=1,-2,0)))</f>
        <v>0</v>
      </c>
      <c r="V11" s="1">
        <f>IF(I11="","",IF(T11=Data!S$3,2,0))</f>
        <v>0</v>
      </c>
      <c r="W11" s="1">
        <f t="shared" si="11"/>
        <v>1</v>
      </c>
      <c r="X11" s="1">
        <f>IF(I11="",AE$2,IF(I11='Live Ladder'!B$4,'Live Ladder'!C$4,'Live Ladder'!D$4)+IF(J11='Live Ladder'!B$5,'Live Ladder'!C$5,'Live Ladder'!D$5)+IF(K11='Live Ladder'!B$6,'Live Ladder'!C$6,'Live Ladder'!D$6)+IF(L11='Live Ladder'!B$7,'Live Ladder'!C$7,'Live Ladder'!D$7)+IF(M11='Live Ladder'!B$8,'Live Ladder'!C$8,'Live Ladder'!D$8)+IF(N11='Live Ladder'!B$9,'Live Ladder'!C$9,'Live Ladder'!D$9)+IF(O11='Live Ladder'!B$10,'Live Ladder'!C$10,'Live Ladder'!D$10)+IF(P11='Live Ladder'!B$11,'Live Ladder'!C$11,'Live Ladder'!D$11))</f>
        <v>20</v>
      </c>
      <c r="Y11">
        <f t="shared" si="4"/>
        <v>29</v>
      </c>
      <c r="Z11">
        <f t="shared" si="12"/>
        <v>1183</v>
      </c>
      <c r="AA11" s="111">
        <f t="shared" si="13"/>
        <v>29.011830084</v>
      </c>
      <c r="AB11">
        <f t="shared" si="16"/>
        <v>1</v>
      </c>
      <c r="AC11">
        <f>IF(I11="","",IF(I11='Live Ladder'!B$4,'Live Ladder'!C$4,'Live Ladder'!D$4)+IF(J11='Live Ladder'!B$5,'Live Ladder'!C$5,'Live Ladder'!D$5)+IF(K11='Live Ladder'!B$6,'Live Ladder'!C$6,'Live Ladder'!D$6)+IF(L11='Live Ladder'!B$7,'Live Ladder'!C$7,'Live Ladder'!D$7)+IF(M11='Live Ladder'!B$8,'Live Ladder'!C$8,'Live Ladder'!D$8)+IF(N11='Live Ladder'!B$9,'Live Ladder'!C$9,'Live Ladder'!D$9)+IF(O11='Live Ladder'!B$10,'Live Ladder'!C$10,'Live Ladder'!D$10)+IF(P11='Live Ladder'!B$11,'Live Ladder'!C$11,'Live Ladder'!D$11))</f>
        <v>20</v>
      </c>
      <c r="AF11">
        <f>IF(I11="","",IF(Q11="",0,IF(AND(Q11&gt;0,COUNTIF('Stats Calculator'!$T$24:$AA$24,Q11)=1),HLOOKUP(Q11,'Stats Calculator'!$T$24:$AA$27,4,FALSE),IF(AND(Q11&gt;0,COUNTIF('Stats Calculator'!$T$25:$AA$25,Q11)=1),HLOOKUP(Q11,'Stats Calculator'!$T$25:$AA$27,3,FALSE)))))</f>
        <v>3</v>
      </c>
      <c r="AG11">
        <f>IF(I11="","",COUNTIF(I11,'Stats Calculator'!E$31)+COUNTIF(J11,'Stats Calculator'!E$32)+COUNTIF(K11,'Stats Calculator'!E$33)+COUNTIF(L11,'Stats Calculator'!E$34)+COUNTIF(M11,'Stats Calculator'!E$35)+COUNTIF(N11,'Stats Calculator'!E$36)+COUNTIF(O11,'Stats Calculator'!E$37)+COUNTIF(P11,'Stats Calculator'!E$38)-8+Data!S$3)</f>
        <v>1</v>
      </c>
      <c r="AH11">
        <f>IF(I11="","",IF(Q11="",0,IF(Q11=0,0,IF(VLOOKUP(Engine!AF11,'Stats Calculator'!B$31:E$38,4,FALSE)="",0,IF(VLOOKUP(Engine!AF11,'Stats Calculator'!B$31:E$38,4,FALSE)=Q11,2,-2)))))</f>
        <v>0</v>
      </c>
      <c r="AI11">
        <f>IF(I11="","",Data!S$3-COUNTA('Stats Calculator'!E$31:E$38))</f>
        <v>7</v>
      </c>
      <c r="AJ11">
        <f>IF(I11="","",IF(AF11=0,0,IF(VLOOKUP(AF11,'Stats Calculator'!B$31:E$38,4,FALSE)&gt;0,0,2)))</f>
        <v>2</v>
      </c>
      <c r="AK11">
        <f>IF(I11="","",IF(Data!S$3-Engine!AI11=AG11,2,0))</f>
        <v>2</v>
      </c>
      <c r="AL11">
        <f t="shared" si="14"/>
        <v>12</v>
      </c>
    </row>
    <row r="12" spans="1:38" x14ac:dyDescent="0.35">
      <c r="A12">
        <v>11</v>
      </c>
      <c r="B12">
        <f t="shared" si="0"/>
        <v>38</v>
      </c>
      <c r="C12" s="111">
        <f>IF(H12="ZZZZZZ Suspend","",R12+(S12/100000)+(G12/1000000000))</f>
        <v>25.011910083</v>
      </c>
      <c r="D12">
        <f t="shared" si="1"/>
        <v>38</v>
      </c>
      <c r="E12" s="3" t="str">
        <f t="shared" si="9"/>
        <v>u</v>
      </c>
      <c r="F12" t="str">
        <f t="shared" si="10"/>
        <v/>
      </c>
      <c r="G12">
        <v>83</v>
      </c>
      <c r="H12" t="str">
        <f>Data!A13</f>
        <v>Budgie</v>
      </c>
      <c r="I12" s="2" t="str">
        <f>Data!C13</f>
        <v>Sea Eagles</v>
      </c>
      <c r="J12" s="2" t="str">
        <f>Data!D13</f>
        <v>Bulldogs</v>
      </c>
      <c r="K12" s="2" t="str">
        <f>Data!E13</f>
        <v>Storm</v>
      </c>
      <c r="L12" s="2" t="str">
        <f>IF(Data!$S$3&lt;Engine!L$1,0,Data!F13)</f>
        <v>Warriors</v>
      </c>
      <c r="M12" s="2" t="str">
        <f>IF(Data!$S$3&lt;Engine!M$1,0,Data!G13)</f>
        <v>Roosters</v>
      </c>
      <c r="N12" s="2" t="str">
        <f>IF(Data!$S$3&lt;Engine!N$1,0,Data!H13)</f>
        <v>Raiders</v>
      </c>
      <c r="O12" s="2" t="str">
        <f>IF(Data!$S$3&lt;Engine!O$1,0,Data!I13)</f>
        <v>Sharks</v>
      </c>
      <c r="P12" s="2" t="str">
        <f>IF(Data!$S$3&lt;Engine!P$1,0,Data!J13)</f>
        <v>Wests Tigers</v>
      </c>
      <c r="Q12" s="11" t="str">
        <f>IF(Data!B13=1,Data!K13,"No Tips")</f>
        <v>Bulldogs</v>
      </c>
      <c r="R12" s="2">
        <f>Data!L13</f>
        <v>25</v>
      </c>
      <c r="S12" s="2">
        <f>Data!M13</f>
        <v>1191</v>
      </c>
      <c r="T12" s="1">
        <f>IF(I12="","",COUNTIF('Live Ladder'!P:P,I12)+COUNTIF('Live Ladder'!P:P,J12)+COUNTIF('Live Ladder'!P:P,K12)+COUNTIF('Live Ladder'!P:P,L12)+COUNTIF('Live Ladder'!P:P,M12)+COUNTIF('Live Ladder'!P:P,N12)+COUNTIF('Live Ladder'!P:P,O12)+COUNTIF('Live Ladder'!P:P,P12))</f>
        <v>0</v>
      </c>
      <c r="U12" s="1">
        <f>IF(I12="","",IF(COUNTIF('Live Ladder'!P:P,Engine!Q12)=1,2,IF(COUNTIF('Live Ladder'!Q:Q,Engine!Q12)=1,-2,0)))</f>
        <v>0</v>
      </c>
      <c r="V12" s="1">
        <f>IF(I12="","",IF(T12=Data!S$3,2,0))</f>
        <v>0</v>
      </c>
      <c r="W12" s="1">
        <f t="shared" si="11"/>
        <v>0</v>
      </c>
      <c r="X12" s="1">
        <f>IF(I12="",AE$2,IF(I12='Live Ladder'!B$4,'Live Ladder'!C$4,'Live Ladder'!D$4)+IF(J12='Live Ladder'!B$5,'Live Ladder'!C$5,'Live Ladder'!D$5)+IF(K12='Live Ladder'!B$6,'Live Ladder'!C$6,'Live Ladder'!D$6)+IF(L12='Live Ladder'!B$7,'Live Ladder'!C$7,'Live Ladder'!D$7)+IF(M12='Live Ladder'!B$8,'Live Ladder'!C$8,'Live Ladder'!D$8)+IF(N12='Live Ladder'!B$9,'Live Ladder'!C$9,'Live Ladder'!D$9)+IF(O12='Live Ladder'!B$10,'Live Ladder'!C$10,'Live Ladder'!D$10)+IF(P12='Live Ladder'!B$11,'Live Ladder'!C$11,'Live Ladder'!D$11))</f>
        <v>18</v>
      </c>
      <c r="Y12">
        <f t="shared" si="4"/>
        <v>25</v>
      </c>
      <c r="Z12">
        <f t="shared" si="12"/>
        <v>1209</v>
      </c>
      <c r="AA12" s="111">
        <f t="shared" si="13"/>
        <v>25.012090083</v>
      </c>
      <c r="AB12">
        <f t="shared" si="16"/>
        <v>0</v>
      </c>
      <c r="AC12">
        <f>IF(I12="","",IF(I12='Live Ladder'!B$4,'Live Ladder'!C$4,'Live Ladder'!D$4)+IF(J12='Live Ladder'!B$5,'Live Ladder'!C$5,'Live Ladder'!D$5)+IF(K12='Live Ladder'!B$6,'Live Ladder'!C$6,'Live Ladder'!D$6)+IF(L12='Live Ladder'!B$7,'Live Ladder'!C$7,'Live Ladder'!D$7)+IF(M12='Live Ladder'!B$8,'Live Ladder'!C$8,'Live Ladder'!D$8)+IF(N12='Live Ladder'!B$9,'Live Ladder'!C$9,'Live Ladder'!D$9)+IF(O12='Live Ladder'!B$10,'Live Ladder'!C$10,'Live Ladder'!D$10)+IF(P12='Live Ladder'!B$11,'Live Ladder'!C$11,'Live Ladder'!D$11))</f>
        <v>18</v>
      </c>
      <c r="AF12">
        <f>IF(I12="","",IF(Q12="",0,IF(AND(Q12&gt;0,COUNTIF('Stats Calculator'!$T$24:$AA$24,Q12)=1),HLOOKUP(Q12,'Stats Calculator'!$T$24:$AA$27,4,FALSE),IF(AND(Q12&gt;0,COUNTIF('Stats Calculator'!$T$25:$AA$25,Q12)=1),HLOOKUP(Q12,'Stats Calculator'!$T$25:$AA$27,3,FALSE)))))</f>
        <v>2</v>
      </c>
      <c r="AG12">
        <f>IF(I12="","",COUNTIF(I12,'Stats Calculator'!E$31)+COUNTIF(J12,'Stats Calculator'!E$32)+COUNTIF(K12,'Stats Calculator'!E$33)+COUNTIF(L12,'Stats Calculator'!E$34)+COUNTIF(M12,'Stats Calculator'!E$35)+COUNTIF(N12,'Stats Calculator'!E$36)+COUNTIF(O12,'Stats Calculator'!E$37)+COUNTIF(P12,'Stats Calculator'!E$38)-8+Data!S$3)</f>
        <v>0</v>
      </c>
      <c r="AH12">
        <f>IF(I12="","",IF(Q12="",0,IF(Q12=0,0,IF(VLOOKUP(Engine!AF12,'Stats Calculator'!B$31:E$38,4,FALSE)="",0,IF(VLOOKUP(Engine!AF12,'Stats Calculator'!B$31:E$38,4,FALSE)=Q12,2,-2)))))</f>
        <v>0</v>
      </c>
      <c r="AI12">
        <f>IF(I12="","",Data!S$3-COUNTA('Stats Calculator'!E$31:E$38))</f>
        <v>7</v>
      </c>
      <c r="AJ12">
        <f>IF(I12="","",IF(AF12=0,0,IF(VLOOKUP(AF12,'Stats Calculator'!B$31:E$38,4,FALSE)&gt;0,0,2)))</f>
        <v>2</v>
      </c>
      <c r="AK12">
        <f>IF(I12="","",IF(Data!S$3-Engine!AI12=AG12,2,0))</f>
        <v>0</v>
      </c>
      <c r="AL12">
        <f t="shared" si="14"/>
        <v>9</v>
      </c>
    </row>
    <row r="13" spans="1:38" x14ac:dyDescent="0.35">
      <c r="A13">
        <v>12</v>
      </c>
      <c r="B13">
        <f t="shared" si="0"/>
        <v>27</v>
      </c>
      <c r="C13" s="111">
        <f t="shared" si="8"/>
        <v>28.011650081999999</v>
      </c>
      <c r="D13">
        <f t="shared" si="1"/>
        <v>25</v>
      </c>
      <c r="E13" s="3" t="str">
        <f t="shared" si="9"/>
        <v>p</v>
      </c>
      <c r="F13">
        <f t="shared" si="10"/>
        <v>2</v>
      </c>
      <c r="G13">
        <v>82</v>
      </c>
      <c r="H13" t="str">
        <f>Data!A14</f>
        <v>Carlos</v>
      </c>
      <c r="I13" s="2" t="str">
        <f>Data!C14</f>
        <v>Dragons</v>
      </c>
      <c r="J13" s="2" t="str">
        <f>Data!D14</f>
        <v>Bulldogs</v>
      </c>
      <c r="K13" s="2" t="str">
        <f>Data!E14</f>
        <v>Storm</v>
      </c>
      <c r="L13" s="2" t="str">
        <f>IF(Data!$S$3&lt;Engine!L$1,0,Data!F14)</f>
        <v>Broncos</v>
      </c>
      <c r="M13" s="2" t="str">
        <f>IF(Data!$S$3&lt;Engine!M$1,0,Data!G14)</f>
        <v>Panthers</v>
      </c>
      <c r="N13" s="2" t="str">
        <f>IF(Data!$S$3&lt;Engine!N$1,0,Data!H14)</f>
        <v>Raiders</v>
      </c>
      <c r="O13" s="2" t="str">
        <f>IF(Data!$S$3&lt;Engine!O$1,0,Data!I14)</f>
        <v>Sharks</v>
      </c>
      <c r="P13" s="2" t="str">
        <f>IF(Data!$S$3&lt;Engine!P$1,0,Data!J14)</f>
        <v>Eels</v>
      </c>
      <c r="Q13" s="11" t="str">
        <f>IF(Data!B14=1,Data!K14,"No Tips")</f>
        <v>Storm</v>
      </c>
      <c r="R13" s="2">
        <f>Data!L14</f>
        <v>28</v>
      </c>
      <c r="S13" s="2">
        <f>Data!M14</f>
        <v>1165</v>
      </c>
      <c r="T13" s="1">
        <f>IF(I13="","",COUNTIF('Live Ladder'!P:P,I13)+COUNTIF('Live Ladder'!P:P,J13)+COUNTIF('Live Ladder'!P:P,K13)+COUNTIF('Live Ladder'!P:P,L13)+COUNTIF('Live Ladder'!P:P,M13)+COUNTIF('Live Ladder'!P:P,N13)+COUNTIF('Live Ladder'!P:P,O13)+COUNTIF('Live Ladder'!P:P,P13))</f>
        <v>1</v>
      </c>
      <c r="U13" s="1">
        <f>IF(I13="","",IF(COUNTIF('Live Ladder'!P:P,Engine!Q13)=1,2,IF(COUNTIF('Live Ladder'!Q:Q,Engine!Q13)=1,-2,0)))</f>
        <v>0</v>
      </c>
      <c r="V13" s="1">
        <f>IF(I13="","",IF(T13=Data!S$3,2,0))</f>
        <v>0</v>
      </c>
      <c r="W13" s="1">
        <f t="shared" si="11"/>
        <v>1</v>
      </c>
      <c r="X13" s="1">
        <f>IF(I13="",AE$2,IF(I13='Live Ladder'!B$4,'Live Ladder'!C$4,'Live Ladder'!D$4)+IF(J13='Live Ladder'!B$5,'Live Ladder'!C$5,'Live Ladder'!D$5)+IF(K13='Live Ladder'!B$6,'Live Ladder'!C$6,'Live Ladder'!D$6)+IF(L13='Live Ladder'!B$7,'Live Ladder'!C$7,'Live Ladder'!D$7)+IF(M13='Live Ladder'!B$8,'Live Ladder'!C$8,'Live Ladder'!D$8)+IF(N13='Live Ladder'!B$9,'Live Ladder'!C$9,'Live Ladder'!D$9)+IF(O13='Live Ladder'!B$10,'Live Ladder'!C$10,'Live Ladder'!D$10)+IF(P13='Live Ladder'!B$11,'Live Ladder'!C$11,'Live Ladder'!D$11))</f>
        <v>20</v>
      </c>
      <c r="Y13">
        <f t="shared" si="4"/>
        <v>29</v>
      </c>
      <c r="Z13">
        <f t="shared" si="12"/>
        <v>1185</v>
      </c>
      <c r="AA13" s="111">
        <f t="shared" si="13"/>
        <v>29.011850081999999</v>
      </c>
      <c r="AB13">
        <f t="shared" si="16"/>
        <v>1</v>
      </c>
      <c r="AC13">
        <f>IF(I13="","",IF(I13='Live Ladder'!B$4,'Live Ladder'!C$4,'Live Ladder'!D$4)+IF(J13='Live Ladder'!B$5,'Live Ladder'!C$5,'Live Ladder'!D$5)+IF(K13='Live Ladder'!B$6,'Live Ladder'!C$6,'Live Ladder'!D$6)+IF(L13='Live Ladder'!B$7,'Live Ladder'!C$7,'Live Ladder'!D$7)+IF(M13='Live Ladder'!B$8,'Live Ladder'!C$8,'Live Ladder'!D$8)+IF(N13='Live Ladder'!B$9,'Live Ladder'!C$9,'Live Ladder'!D$9)+IF(O13='Live Ladder'!B$10,'Live Ladder'!C$10,'Live Ladder'!D$10)+IF(P13='Live Ladder'!B$11,'Live Ladder'!C$11,'Live Ladder'!D$11))</f>
        <v>20</v>
      </c>
      <c r="AF13">
        <f>IF(I13="","",IF(Q13="",0,IF(AND(Q13&gt;0,COUNTIF('Stats Calculator'!$T$24:$AA$24,Q13)=1),HLOOKUP(Q13,'Stats Calculator'!$T$24:$AA$27,4,FALSE),IF(AND(Q13&gt;0,COUNTIF('Stats Calculator'!$T$25:$AA$25,Q13)=1),HLOOKUP(Q13,'Stats Calculator'!$T$25:$AA$27,3,FALSE)))))</f>
        <v>3</v>
      </c>
      <c r="AG13">
        <f>IF(I13="","",COUNTIF(I13,'Stats Calculator'!E$31)+COUNTIF(J13,'Stats Calculator'!E$32)+COUNTIF(K13,'Stats Calculator'!E$33)+COUNTIF(L13,'Stats Calculator'!E$34)+COUNTIF(M13,'Stats Calculator'!E$35)+COUNTIF(N13,'Stats Calculator'!E$36)+COUNTIF(O13,'Stats Calculator'!E$37)+COUNTIF(P13,'Stats Calculator'!E$38)-8+Data!S$3)</f>
        <v>1</v>
      </c>
      <c r="AH13">
        <f>IF(I13="","",IF(Q13="",0,IF(Q13=0,0,IF(VLOOKUP(Engine!AF13,'Stats Calculator'!B$31:E$38,4,FALSE)="",0,IF(VLOOKUP(Engine!AF13,'Stats Calculator'!B$31:E$38,4,FALSE)=Q13,2,-2)))))</f>
        <v>0</v>
      </c>
      <c r="AI13">
        <f>IF(I13="","",Data!S$3-COUNTA('Stats Calculator'!E$31:E$38))</f>
        <v>7</v>
      </c>
      <c r="AJ13">
        <f>IF(I13="","",IF(AF13=0,0,IF(VLOOKUP(AF13,'Stats Calculator'!B$31:E$38,4,FALSE)&gt;0,0,2)))</f>
        <v>2</v>
      </c>
      <c r="AK13">
        <f>IF(I13="","",IF(Data!S$3-Engine!AI13=AG13,2,0))</f>
        <v>2</v>
      </c>
      <c r="AL13">
        <f t="shared" si="14"/>
        <v>12</v>
      </c>
    </row>
    <row r="14" spans="1:38" x14ac:dyDescent="0.35">
      <c r="A14">
        <v>13</v>
      </c>
      <c r="B14">
        <f t="shared" si="0"/>
        <v>32</v>
      </c>
      <c r="C14" s="111">
        <f t="shared" si="8"/>
        <v>27.011870080999998</v>
      </c>
      <c r="D14">
        <f t="shared" si="1"/>
        <v>29</v>
      </c>
      <c r="E14" s="3" t="str">
        <f t="shared" si="9"/>
        <v>p</v>
      </c>
      <c r="F14">
        <f t="shared" si="10"/>
        <v>3</v>
      </c>
      <c r="G14">
        <v>81</v>
      </c>
      <c r="H14" t="str">
        <f>Data!A15</f>
        <v>Chunka</v>
      </c>
      <c r="I14" s="2" t="str">
        <f>Data!C15</f>
        <v>Dragons</v>
      </c>
      <c r="J14" s="2" t="str">
        <f>Data!D15</f>
        <v>Bulldogs</v>
      </c>
      <c r="K14" s="2" t="str">
        <f>Data!E15</f>
        <v>Storm</v>
      </c>
      <c r="L14" s="2" t="str">
        <f>IF(Data!$S$3&lt;Engine!L$1,0,Data!F15)</f>
        <v>Broncos</v>
      </c>
      <c r="M14" s="2" t="str">
        <f>IF(Data!$S$3&lt;Engine!M$1,0,Data!G15)</f>
        <v>Roosters</v>
      </c>
      <c r="N14" s="2" t="str">
        <f>IF(Data!$S$3&lt;Engine!N$1,0,Data!H15)</f>
        <v>Raiders</v>
      </c>
      <c r="O14" s="2" t="str">
        <f>IF(Data!$S$3&lt;Engine!O$1,0,Data!I15)</f>
        <v>Sharks</v>
      </c>
      <c r="P14" s="2" t="str">
        <f>IF(Data!$S$3&lt;Engine!P$1,0,Data!J15)</f>
        <v>Wests Tigers</v>
      </c>
      <c r="Q14" s="11" t="str">
        <f>IF(Data!B15=1,Data!K15,"No Tips")</f>
        <v>Bulldogs</v>
      </c>
      <c r="R14" s="2">
        <f>Data!L15</f>
        <v>27</v>
      </c>
      <c r="S14" s="2">
        <f>Data!M15</f>
        <v>1187</v>
      </c>
      <c r="T14" s="1">
        <f>IF(I14="","",COUNTIF('Live Ladder'!P:P,I14)+COUNTIF('Live Ladder'!P:P,J14)+COUNTIF('Live Ladder'!P:P,K14)+COUNTIF('Live Ladder'!P:P,L14)+COUNTIF('Live Ladder'!P:P,M14)+COUNTIF('Live Ladder'!P:P,N14)+COUNTIF('Live Ladder'!P:P,O14)+COUNTIF('Live Ladder'!P:P,P14))</f>
        <v>1</v>
      </c>
      <c r="U14" s="1">
        <f>IF(I14="","",IF(COUNTIF('Live Ladder'!P:P,Engine!Q14)=1,2,IF(COUNTIF('Live Ladder'!Q:Q,Engine!Q14)=1,-2,0)))</f>
        <v>0</v>
      </c>
      <c r="V14" s="1">
        <f>IF(I14="","",IF(T14=Data!S$3,2,0))</f>
        <v>0</v>
      </c>
      <c r="W14" s="1">
        <f t="shared" si="11"/>
        <v>1</v>
      </c>
      <c r="X14" s="1">
        <f>IF(I14="",AE$2,IF(I14='Live Ladder'!B$4,'Live Ladder'!C$4,'Live Ladder'!D$4)+IF(J14='Live Ladder'!B$5,'Live Ladder'!C$5,'Live Ladder'!D$5)+IF(K14='Live Ladder'!B$6,'Live Ladder'!C$6,'Live Ladder'!D$6)+IF(L14='Live Ladder'!B$7,'Live Ladder'!C$7,'Live Ladder'!D$7)+IF(M14='Live Ladder'!B$8,'Live Ladder'!C$8,'Live Ladder'!D$8)+IF(N14='Live Ladder'!B$9,'Live Ladder'!C$9,'Live Ladder'!D$9)+IF(O14='Live Ladder'!B$10,'Live Ladder'!C$10,'Live Ladder'!D$10)+IF(P14='Live Ladder'!B$11,'Live Ladder'!C$11,'Live Ladder'!D$11))</f>
        <v>20</v>
      </c>
      <c r="Y14">
        <f t="shared" si="4"/>
        <v>28</v>
      </c>
      <c r="Z14">
        <f t="shared" si="12"/>
        <v>1207</v>
      </c>
      <c r="AA14" s="111">
        <f t="shared" si="13"/>
        <v>28.012070081000001</v>
      </c>
      <c r="AB14">
        <f t="shared" si="16"/>
        <v>1</v>
      </c>
      <c r="AC14">
        <f>IF(I14="","",IF(I14='Live Ladder'!B$4,'Live Ladder'!C$4,'Live Ladder'!D$4)+IF(J14='Live Ladder'!B$5,'Live Ladder'!C$5,'Live Ladder'!D$5)+IF(K14='Live Ladder'!B$6,'Live Ladder'!C$6,'Live Ladder'!D$6)+IF(L14='Live Ladder'!B$7,'Live Ladder'!C$7,'Live Ladder'!D$7)+IF(M14='Live Ladder'!B$8,'Live Ladder'!C$8,'Live Ladder'!D$8)+IF(N14='Live Ladder'!B$9,'Live Ladder'!C$9,'Live Ladder'!D$9)+IF(O14='Live Ladder'!B$10,'Live Ladder'!C$10,'Live Ladder'!D$10)+IF(P14='Live Ladder'!B$11,'Live Ladder'!C$11,'Live Ladder'!D$11))</f>
        <v>20</v>
      </c>
      <c r="AF14">
        <f>IF(I14="","",IF(Q14="",0,IF(AND(Q14&gt;0,COUNTIF('Stats Calculator'!$T$24:$AA$24,Q14)=1),HLOOKUP(Q14,'Stats Calculator'!$T$24:$AA$27,4,FALSE),IF(AND(Q14&gt;0,COUNTIF('Stats Calculator'!$T$25:$AA$25,Q14)=1),HLOOKUP(Q14,'Stats Calculator'!$T$25:$AA$27,3,FALSE)))))</f>
        <v>2</v>
      </c>
      <c r="AG14">
        <f>IF(I14="","",COUNTIF(I14,'Stats Calculator'!E$31)+COUNTIF(J14,'Stats Calculator'!E$32)+COUNTIF(K14,'Stats Calculator'!E$33)+COUNTIF(L14,'Stats Calculator'!E$34)+COUNTIF(M14,'Stats Calculator'!E$35)+COUNTIF(N14,'Stats Calculator'!E$36)+COUNTIF(O14,'Stats Calculator'!E$37)+COUNTIF(P14,'Stats Calculator'!E$38)-8+Data!S$3)</f>
        <v>1</v>
      </c>
      <c r="AH14">
        <f>IF(I14="","",IF(Q14="",0,IF(Q14=0,0,IF(VLOOKUP(Engine!AF14,'Stats Calculator'!B$31:E$38,4,FALSE)="",0,IF(VLOOKUP(Engine!AF14,'Stats Calculator'!B$31:E$38,4,FALSE)=Q14,2,-2)))))</f>
        <v>0</v>
      </c>
      <c r="AI14">
        <f>IF(I14="","",Data!S$3-COUNTA('Stats Calculator'!E$31:E$38))</f>
        <v>7</v>
      </c>
      <c r="AJ14">
        <f>IF(I14="","",IF(AF14=0,0,IF(VLOOKUP(AF14,'Stats Calculator'!B$31:E$38,4,FALSE)&gt;0,0,2)))</f>
        <v>2</v>
      </c>
      <c r="AK14">
        <f>IF(I14="","",IF(Data!S$3-Engine!AI14=AG14,2,0))</f>
        <v>2</v>
      </c>
      <c r="AL14">
        <f t="shared" si="14"/>
        <v>12</v>
      </c>
    </row>
    <row r="15" spans="1:38" x14ac:dyDescent="0.35">
      <c r="A15">
        <v>14</v>
      </c>
      <c r="B15">
        <f t="shared" si="0"/>
        <v>1</v>
      </c>
      <c r="C15" s="111">
        <f t="shared" si="8"/>
        <v>40.012150079999998</v>
      </c>
      <c r="D15">
        <f t="shared" si="1"/>
        <v>1</v>
      </c>
      <c r="E15" s="3" t="str">
        <f t="shared" si="9"/>
        <v>u</v>
      </c>
      <c r="F15" t="str">
        <f t="shared" si="10"/>
        <v/>
      </c>
      <c r="G15">
        <v>80</v>
      </c>
      <c r="H15" t="str">
        <f>Data!A16</f>
        <v>Craig Young's Love Child</v>
      </c>
      <c r="I15" s="2" t="str">
        <f>Data!C16</f>
        <v>Sea Eagles</v>
      </c>
      <c r="J15" s="2" t="str">
        <f>Data!D16</f>
        <v>Bulldogs</v>
      </c>
      <c r="K15" s="2" t="str">
        <f>Data!E16</f>
        <v>Storm</v>
      </c>
      <c r="L15" s="2" t="str">
        <f>IF(Data!$S$3&lt;Engine!L$1,0,Data!F16)</f>
        <v>Broncos</v>
      </c>
      <c r="M15" s="2" t="str">
        <f>IF(Data!$S$3&lt;Engine!M$1,0,Data!G16)</f>
        <v>Panthers</v>
      </c>
      <c r="N15" s="2" t="str">
        <f>IF(Data!$S$3&lt;Engine!N$1,0,Data!H16)</f>
        <v>Titans</v>
      </c>
      <c r="O15" s="2" t="str">
        <f>IF(Data!$S$3&lt;Engine!O$1,0,Data!I16)</f>
        <v>Sharks</v>
      </c>
      <c r="P15" s="2" t="str">
        <f>IF(Data!$S$3&lt;Engine!P$1,0,Data!J16)</f>
        <v>Wests Tigers</v>
      </c>
      <c r="Q15" s="11" t="str">
        <f>IF(Data!B16=1,Data!K16,"No Tips")</f>
        <v>Bulldogs</v>
      </c>
      <c r="R15" s="2">
        <f>Data!L16</f>
        <v>40</v>
      </c>
      <c r="S15" s="2">
        <f>Data!M16</f>
        <v>1215</v>
      </c>
      <c r="T15" s="1">
        <f>IF(I15="","",COUNTIF('Live Ladder'!P:P,I15)+COUNTIF('Live Ladder'!P:P,J15)+COUNTIF('Live Ladder'!P:P,K15)+COUNTIF('Live Ladder'!P:P,L15)+COUNTIF('Live Ladder'!P:P,M15)+COUNTIF('Live Ladder'!P:P,N15)+COUNTIF('Live Ladder'!P:P,O15)+COUNTIF('Live Ladder'!P:P,P15))</f>
        <v>0</v>
      </c>
      <c r="U15" s="1">
        <f>IF(I15="","",IF(COUNTIF('Live Ladder'!P:P,Engine!Q15)=1,2,IF(COUNTIF('Live Ladder'!Q:Q,Engine!Q15)=1,-2,0)))</f>
        <v>0</v>
      </c>
      <c r="V15" s="1">
        <f>IF(I15="","",IF(T15=Data!S$3,2,0))</f>
        <v>0</v>
      </c>
      <c r="W15" s="1">
        <f t="shared" si="11"/>
        <v>0</v>
      </c>
      <c r="X15" s="1">
        <f>IF(I15="",AE$2,IF(I15='Live Ladder'!B$4,'Live Ladder'!C$4,'Live Ladder'!D$4)+IF(J15='Live Ladder'!B$5,'Live Ladder'!C$5,'Live Ladder'!D$5)+IF(K15='Live Ladder'!B$6,'Live Ladder'!C$6,'Live Ladder'!D$6)+IF(L15='Live Ladder'!B$7,'Live Ladder'!C$7,'Live Ladder'!D$7)+IF(M15='Live Ladder'!B$8,'Live Ladder'!C$8,'Live Ladder'!D$8)+IF(N15='Live Ladder'!B$9,'Live Ladder'!C$9,'Live Ladder'!D$9)+IF(O15='Live Ladder'!B$10,'Live Ladder'!C$10,'Live Ladder'!D$10)+IF(P15='Live Ladder'!B$11,'Live Ladder'!C$11,'Live Ladder'!D$11))</f>
        <v>18</v>
      </c>
      <c r="Y15">
        <f t="shared" si="4"/>
        <v>40</v>
      </c>
      <c r="Z15">
        <f t="shared" si="12"/>
        <v>1233</v>
      </c>
      <c r="AA15" s="111">
        <f t="shared" si="13"/>
        <v>40.012330079999998</v>
      </c>
      <c r="AB15">
        <f t="shared" si="16"/>
        <v>0</v>
      </c>
      <c r="AC15">
        <f>IF(I15="","",IF(I15='Live Ladder'!B$4,'Live Ladder'!C$4,'Live Ladder'!D$4)+IF(J15='Live Ladder'!B$5,'Live Ladder'!C$5,'Live Ladder'!D$5)+IF(K15='Live Ladder'!B$6,'Live Ladder'!C$6,'Live Ladder'!D$6)+IF(L15='Live Ladder'!B$7,'Live Ladder'!C$7,'Live Ladder'!D$7)+IF(M15='Live Ladder'!B$8,'Live Ladder'!C$8,'Live Ladder'!D$8)+IF(N15='Live Ladder'!B$9,'Live Ladder'!C$9,'Live Ladder'!D$9)+IF(O15='Live Ladder'!B$10,'Live Ladder'!C$10,'Live Ladder'!D$10)+IF(P15='Live Ladder'!B$11,'Live Ladder'!C$11,'Live Ladder'!D$11))</f>
        <v>18</v>
      </c>
      <c r="AF15">
        <f>IF(I15="","",IF(Q15="",0,IF(AND(Q15&gt;0,COUNTIF('Stats Calculator'!$T$24:$AA$24,Q15)=1),HLOOKUP(Q15,'Stats Calculator'!$T$24:$AA$27,4,FALSE),IF(AND(Q15&gt;0,COUNTIF('Stats Calculator'!$T$25:$AA$25,Q15)=1),HLOOKUP(Q15,'Stats Calculator'!$T$25:$AA$27,3,FALSE)))))</f>
        <v>2</v>
      </c>
      <c r="AG15">
        <f>IF(I15="","",COUNTIF(I15,'Stats Calculator'!E$31)+COUNTIF(J15,'Stats Calculator'!E$32)+COUNTIF(K15,'Stats Calculator'!E$33)+COUNTIF(L15,'Stats Calculator'!E$34)+COUNTIF(M15,'Stats Calculator'!E$35)+COUNTIF(N15,'Stats Calculator'!E$36)+COUNTIF(O15,'Stats Calculator'!E$37)+COUNTIF(P15,'Stats Calculator'!E$38)-8+Data!S$3)</f>
        <v>0</v>
      </c>
      <c r="AH15">
        <f>IF(I15="","",IF(Q15="",0,IF(Q15=0,0,IF(VLOOKUP(Engine!AF15,'Stats Calculator'!B$31:E$38,4,FALSE)="",0,IF(VLOOKUP(Engine!AF15,'Stats Calculator'!B$31:E$38,4,FALSE)=Q15,2,-2)))))</f>
        <v>0</v>
      </c>
      <c r="AI15">
        <f>IF(I15="","",Data!S$3-COUNTA('Stats Calculator'!E$31:E$38))</f>
        <v>7</v>
      </c>
      <c r="AJ15">
        <f>IF(I15="","",IF(AF15=0,0,IF(VLOOKUP(AF15,'Stats Calculator'!B$31:E$38,4,FALSE)&gt;0,0,2)))</f>
        <v>2</v>
      </c>
      <c r="AK15">
        <f>IF(I15="","",IF(Data!S$3-Engine!AI15=AG15,2,0))</f>
        <v>0</v>
      </c>
      <c r="AL15">
        <f t="shared" si="14"/>
        <v>9</v>
      </c>
    </row>
    <row r="16" spans="1:38" x14ac:dyDescent="0.35">
      <c r="A16">
        <v>15</v>
      </c>
      <c r="B16">
        <f t="shared" si="0"/>
        <v>34</v>
      </c>
      <c r="C16" s="111">
        <f t="shared" si="8"/>
        <v>27.011660078999999</v>
      </c>
      <c r="D16">
        <f t="shared" si="1"/>
        <v>30</v>
      </c>
      <c r="E16" s="3" t="str">
        <f t="shared" si="9"/>
        <v>p</v>
      </c>
      <c r="F16">
        <f t="shared" si="10"/>
        <v>4</v>
      </c>
      <c r="G16">
        <v>79</v>
      </c>
      <c r="H16" t="str">
        <f>Data!A17</f>
        <v>Cruella</v>
      </c>
      <c r="I16" s="2" t="str">
        <f>Data!C17</f>
        <v>Dragons</v>
      </c>
      <c r="J16" s="2" t="str">
        <f>Data!D17</f>
        <v>Bulldogs</v>
      </c>
      <c r="K16" s="2" t="str">
        <f>Data!E17</f>
        <v>Storm</v>
      </c>
      <c r="L16" s="2" t="str">
        <f>IF(Data!$S$3&lt;Engine!L$1,0,Data!F17)</f>
        <v>Broncos</v>
      </c>
      <c r="M16" s="2" t="str">
        <f>IF(Data!$S$3&lt;Engine!M$1,0,Data!G17)</f>
        <v>Roosters</v>
      </c>
      <c r="N16" s="2" t="str">
        <f>IF(Data!$S$3&lt;Engine!N$1,0,Data!H17)</f>
        <v>Raiders</v>
      </c>
      <c r="O16" s="2" t="str">
        <f>IF(Data!$S$3&lt;Engine!O$1,0,Data!I17)</f>
        <v>Sharks</v>
      </c>
      <c r="P16" s="2" t="str">
        <f>IF(Data!$S$3&lt;Engine!P$1,0,Data!J17)</f>
        <v>Wests Tigers</v>
      </c>
      <c r="Q16" s="11" t="str">
        <f>IF(Data!B17=1,Data!K17,"No Tips")</f>
        <v>Storm</v>
      </c>
      <c r="R16" s="2">
        <f>Data!L17</f>
        <v>27</v>
      </c>
      <c r="S16" s="2">
        <f>Data!M17</f>
        <v>1166</v>
      </c>
      <c r="T16" s="1">
        <f>IF(I16="","",COUNTIF('Live Ladder'!P:P,I16)+COUNTIF('Live Ladder'!P:P,J16)+COUNTIF('Live Ladder'!P:P,K16)+COUNTIF('Live Ladder'!P:P,L16)+COUNTIF('Live Ladder'!P:P,M16)+COUNTIF('Live Ladder'!P:P,N16)+COUNTIF('Live Ladder'!P:P,O16)+COUNTIF('Live Ladder'!P:P,P16))</f>
        <v>1</v>
      </c>
      <c r="U16" s="1">
        <f>IF(I16="","",IF(COUNTIF('Live Ladder'!P:P,Engine!Q16)=1,2,IF(COUNTIF('Live Ladder'!Q:Q,Engine!Q16)=1,-2,0)))</f>
        <v>0</v>
      </c>
      <c r="V16" s="1">
        <f>IF(I16="","",IF(T16=Data!S$3,2,0))</f>
        <v>0</v>
      </c>
      <c r="W16" s="1">
        <f t="shared" si="11"/>
        <v>1</v>
      </c>
      <c r="X16" s="1">
        <f>IF(I16="",AE$2,IF(I16='Live Ladder'!B$4,'Live Ladder'!C$4,'Live Ladder'!D$4)+IF(J16='Live Ladder'!B$5,'Live Ladder'!C$5,'Live Ladder'!D$5)+IF(K16='Live Ladder'!B$6,'Live Ladder'!C$6,'Live Ladder'!D$6)+IF(L16='Live Ladder'!B$7,'Live Ladder'!C$7,'Live Ladder'!D$7)+IF(M16='Live Ladder'!B$8,'Live Ladder'!C$8,'Live Ladder'!D$8)+IF(N16='Live Ladder'!B$9,'Live Ladder'!C$9,'Live Ladder'!D$9)+IF(O16='Live Ladder'!B$10,'Live Ladder'!C$10,'Live Ladder'!D$10)+IF(P16='Live Ladder'!B$11,'Live Ladder'!C$11,'Live Ladder'!D$11))</f>
        <v>20</v>
      </c>
      <c r="Y16">
        <f>IF(H16="ZZZZZZ Suspend","",R16+W16)</f>
        <v>28</v>
      </c>
      <c r="Z16">
        <f t="shared" si="12"/>
        <v>1186</v>
      </c>
      <c r="AA16" s="111">
        <f t="shared" si="13"/>
        <v>28.011860078999998</v>
      </c>
      <c r="AB16">
        <f t="shared" si="16"/>
        <v>1</v>
      </c>
      <c r="AC16">
        <f>IF(I16="","",IF(I16='Live Ladder'!B$4,'Live Ladder'!C$4,'Live Ladder'!D$4)+IF(J16='Live Ladder'!B$5,'Live Ladder'!C$5,'Live Ladder'!D$5)+IF(K16='Live Ladder'!B$6,'Live Ladder'!C$6,'Live Ladder'!D$6)+IF(L16='Live Ladder'!B$7,'Live Ladder'!C$7,'Live Ladder'!D$7)+IF(M16='Live Ladder'!B$8,'Live Ladder'!C$8,'Live Ladder'!D$8)+IF(N16='Live Ladder'!B$9,'Live Ladder'!C$9,'Live Ladder'!D$9)+IF(O16='Live Ladder'!B$10,'Live Ladder'!C$10,'Live Ladder'!D$10)+IF(P16='Live Ladder'!B$11,'Live Ladder'!C$11,'Live Ladder'!D$11))</f>
        <v>20</v>
      </c>
      <c r="AF16">
        <f>IF(I16="","",IF(Q16="",0,IF(AND(Q16&gt;0,COUNTIF('Stats Calculator'!$T$24:$AA$24,Q16)=1),HLOOKUP(Q16,'Stats Calculator'!$T$24:$AA$27,4,FALSE),IF(AND(Q16&gt;0,COUNTIF('Stats Calculator'!$T$25:$AA$25,Q16)=1),HLOOKUP(Q16,'Stats Calculator'!$T$25:$AA$27,3,FALSE)))))</f>
        <v>3</v>
      </c>
      <c r="AG16">
        <f>IF(I16="","",COUNTIF(I16,'Stats Calculator'!E$31)+COUNTIF(J16,'Stats Calculator'!E$32)+COUNTIF(K16,'Stats Calculator'!E$33)+COUNTIF(L16,'Stats Calculator'!E$34)+COUNTIF(M16,'Stats Calculator'!E$35)+COUNTIF(N16,'Stats Calculator'!E$36)+COUNTIF(O16,'Stats Calculator'!E$37)+COUNTIF(P16,'Stats Calculator'!E$38)-8+Data!S$3)</f>
        <v>1</v>
      </c>
      <c r="AH16">
        <f>IF(I16="","",IF(Q16="",0,IF(Q16=0,0,IF(VLOOKUP(Engine!AF16,'Stats Calculator'!B$31:E$38,4,FALSE)="",0,IF(VLOOKUP(Engine!AF16,'Stats Calculator'!B$31:E$38,4,FALSE)=Q16,2,-2)))))</f>
        <v>0</v>
      </c>
      <c r="AI16">
        <f>IF(I16="","",Data!S$3-COUNTA('Stats Calculator'!E$31:E$38))</f>
        <v>7</v>
      </c>
      <c r="AJ16">
        <f>IF(I16="","",IF(AF16=0,0,IF(VLOOKUP(AF16,'Stats Calculator'!B$31:E$38,4,FALSE)&gt;0,0,2)))</f>
        <v>2</v>
      </c>
      <c r="AK16">
        <f>IF(I16="","",IF(Data!S$3-Engine!AI16=AG16,2,0))</f>
        <v>2</v>
      </c>
      <c r="AL16">
        <f t="shared" si="14"/>
        <v>12</v>
      </c>
    </row>
    <row r="17" spans="1:38" x14ac:dyDescent="0.35">
      <c r="A17">
        <v>16</v>
      </c>
      <c r="B17">
        <f t="shared" si="0"/>
        <v>8</v>
      </c>
      <c r="C17" s="111">
        <f t="shared" si="8"/>
        <v>32.012270078</v>
      </c>
      <c r="D17">
        <f t="shared" si="1"/>
        <v>9</v>
      </c>
      <c r="E17" s="3" t="str">
        <f t="shared" si="9"/>
        <v>q</v>
      </c>
      <c r="F17">
        <f t="shared" si="10"/>
        <v>1</v>
      </c>
      <c r="G17">
        <v>78</v>
      </c>
      <c r="H17" t="str">
        <f>Data!A18</f>
        <v>Fouad Khochaiche</v>
      </c>
      <c r="I17" s="2" t="str">
        <f>Data!C18</f>
        <v>Sea Eagles</v>
      </c>
      <c r="J17" s="2" t="str">
        <f>Data!D18</f>
        <v>Bulldogs</v>
      </c>
      <c r="K17" s="2" t="str">
        <f>Data!E18</f>
        <v>Storm</v>
      </c>
      <c r="L17" s="2" t="str">
        <f>IF(Data!$S$3&lt;Engine!L$1,0,Data!F18)</f>
        <v>Broncos</v>
      </c>
      <c r="M17" s="2" t="str">
        <f>IF(Data!$S$3&lt;Engine!M$1,0,Data!G18)</f>
        <v>Panthers</v>
      </c>
      <c r="N17" s="2" t="str">
        <f>IF(Data!$S$3&lt;Engine!N$1,0,Data!H18)</f>
        <v>Titans</v>
      </c>
      <c r="O17" s="2" t="str">
        <f>IF(Data!$S$3&lt;Engine!O$1,0,Data!I18)</f>
        <v>Sharks</v>
      </c>
      <c r="P17" s="2" t="str">
        <f>IF(Data!$S$3&lt;Engine!P$1,0,Data!J18)</f>
        <v>Wests Tigers</v>
      </c>
      <c r="Q17" s="11" t="str">
        <f>IF(Data!B18=1,Data!K18,"No Tips")</f>
        <v>Storm</v>
      </c>
      <c r="R17" s="2">
        <f>Data!L18</f>
        <v>32</v>
      </c>
      <c r="S17" s="2">
        <f>Data!M18</f>
        <v>1227</v>
      </c>
      <c r="T17" s="1">
        <f>IF(I17="","",COUNTIF('Live Ladder'!P:P,I17)+COUNTIF('Live Ladder'!P:P,J17)+COUNTIF('Live Ladder'!P:P,K17)+COUNTIF('Live Ladder'!P:P,L17)+COUNTIF('Live Ladder'!P:P,M17)+COUNTIF('Live Ladder'!P:P,N17)+COUNTIF('Live Ladder'!P:P,O17)+COUNTIF('Live Ladder'!P:P,P17))</f>
        <v>0</v>
      </c>
      <c r="U17" s="1">
        <f>IF(I17="","",IF(COUNTIF('Live Ladder'!P:P,Engine!Q17)=1,2,IF(COUNTIF('Live Ladder'!Q:Q,Engine!Q17)=1,-2,0)))</f>
        <v>0</v>
      </c>
      <c r="V17" s="1">
        <f>IF(I17="","",IF(T17=Data!S$3,2,0))</f>
        <v>0</v>
      </c>
      <c r="W17" s="1">
        <f t="shared" si="11"/>
        <v>0</v>
      </c>
      <c r="X17" s="1">
        <f>IF(I17="",AE$2,IF(I17='Live Ladder'!B$4,'Live Ladder'!C$4,'Live Ladder'!D$4)+IF(J17='Live Ladder'!B$5,'Live Ladder'!C$5,'Live Ladder'!D$5)+IF(K17='Live Ladder'!B$6,'Live Ladder'!C$6,'Live Ladder'!D$6)+IF(L17='Live Ladder'!B$7,'Live Ladder'!C$7,'Live Ladder'!D$7)+IF(M17='Live Ladder'!B$8,'Live Ladder'!C$8,'Live Ladder'!D$8)+IF(N17='Live Ladder'!B$9,'Live Ladder'!C$9,'Live Ladder'!D$9)+IF(O17='Live Ladder'!B$10,'Live Ladder'!C$10,'Live Ladder'!D$10)+IF(P17='Live Ladder'!B$11,'Live Ladder'!C$11,'Live Ladder'!D$11))</f>
        <v>18</v>
      </c>
      <c r="Y17">
        <f t="shared" ref="Y17:Y80" si="17">IF(H17="ZZZZZZ Suspend","",R17+W17)</f>
        <v>32</v>
      </c>
      <c r="Z17">
        <f t="shared" si="12"/>
        <v>1245</v>
      </c>
      <c r="AA17" s="111">
        <f t="shared" si="13"/>
        <v>32.012450078000001</v>
      </c>
      <c r="AB17">
        <f t="shared" si="16"/>
        <v>0</v>
      </c>
      <c r="AC17">
        <f>IF(I17="","",IF(I17='Live Ladder'!B$4,'Live Ladder'!C$4,'Live Ladder'!D$4)+IF(J17='Live Ladder'!B$5,'Live Ladder'!C$5,'Live Ladder'!D$5)+IF(K17='Live Ladder'!B$6,'Live Ladder'!C$6,'Live Ladder'!D$6)+IF(L17='Live Ladder'!B$7,'Live Ladder'!C$7,'Live Ladder'!D$7)+IF(M17='Live Ladder'!B$8,'Live Ladder'!C$8,'Live Ladder'!D$8)+IF(N17='Live Ladder'!B$9,'Live Ladder'!C$9,'Live Ladder'!D$9)+IF(O17='Live Ladder'!B$10,'Live Ladder'!C$10,'Live Ladder'!D$10)+IF(P17='Live Ladder'!B$11,'Live Ladder'!C$11,'Live Ladder'!D$11))</f>
        <v>18</v>
      </c>
      <c r="AD17" s="10"/>
      <c r="AE17" s="10"/>
      <c r="AF17">
        <f>IF(I17="","",IF(Q17="",0,IF(AND(Q17&gt;0,COUNTIF('Stats Calculator'!$T$24:$AA$24,Q17)=1),HLOOKUP(Q17,'Stats Calculator'!$T$24:$AA$27,4,FALSE),IF(AND(Q17&gt;0,COUNTIF('Stats Calculator'!$T$25:$AA$25,Q17)=1),HLOOKUP(Q17,'Stats Calculator'!$T$25:$AA$27,3,FALSE)))))</f>
        <v>3</v>
      </c>
      <c r="AG17">
        <f>IF(I17="","",COUNTIF(I17,'Stats Calculator'!E$31)+COUNTIF(J17,'Stats Calculator'!E$32)+COUNTIF(K17,'Stats Calculator'!E$33)+COUNTIF(L17,'Stats Calculator'!E$34)+COUNTIF(M17,'Stats Calculator'!E$35)+COUNTIF(N17,'Stats Calculator'!E$36)+COUNTIF(O17,'Stats Calculator'!E$37)+COUNTIF(P17,'Stats Calculator'!E$38)-8+Data!S$3)</f>
        <v>0</v>
      </c>
      <c r="AH17">
        <f>IF(I17="","",IF(Q17="",0,IF(Q17=0,0,IF(VLOOKUP(Engine!AF17,'Stats Calculator'!B$31:E$38,4,FALSE)="",0,IF(VLOOKUP(Engine!AF17,'Stats Calculator'!B$31:E$38,4,FALSE)=Q17,2,-2)))))</f>
        <v>0</v>
      </c>
      <c r="AI17">
        <f>IF(I17="","",Data!S$3-COUNTA('Stats Calculator'!E$31:E$38))</f>
        <v>7</v>
      </c>
      <c r="AJ17">
        <f>IF(I17="","",IF(AF17=0,0,IF(VLOOKUP(AF17,'Stats Calculator'!B$31:E$38,4,FALSE)&gt;0,0,2)))</f>
        <v>2</v>
      </c>
      <c r="AK17">
        <f>IF(I17="","",IF(Data!S$3-Engine!AI17=AG17,2,0))</f>
        <v>0</v>
      </c>
      <c r="AL17">
        <f t="shared" si="14"/>
        <v>9</v>
      </c>
    </row>
    <row r="18" spans="1:38" x14ac:dyDescent="0.35">
      <c r="A18">
        <v>17</v>
      </c>
      <c r="B18">
        <f t="shared" si="0"/>
        <v>20</v>
      </c>
      <c r="C18" s="111">
        <f t="shared" si="8"/>
        <v>30.011640076999999</v>
      </c>
      <c r="D18">
        <f t="shared" si="1"/>
        <v>20</v>
      </c>
      <c r="E18" s="3" t="str">
        <f t="shared" si="9"/>
        <v>u</v>
      </c>
      <c r="F18" t="str">
        <f t="shared" si="10"/>
        <v/>
      </c>
      <c r="G18">
        <v>77</v>
      </c>
      <c r="H18" t="str">
        <f>Data!A19</f>
        <v>gdadisho</v>
      </c>
      <c r="I18" s="2" t="str">
        <f>Data!C19</f>
        <v>Sea Eagles</v>
      </c>
      <c r="J18" s="2" t="str">
        <f>Data!D19</f>
        <v>Rabbitohs</v>
      </c>
      <c r="K18" s="2" t="str">
        <f>Data!E19</f>
        <v>Storm</v>
      </c>
      <c r="L18" s="2" t="str">
        <f>IF(Data!$S$3&lt;Engine!L$1,0,Data!F19)</f>
        <v>Broncos</v>
      </c>
      <c r="M18" s="2" t="str">
        <f>IF(Data!$S$3&lt;Engine!M$1,0,Data!G19)</f>
        <v>Roosters</v>
      </c>
      <c r="N18" s="2" t="str">
        <f>IF(Data!$S$3&lt;Engine!N$1,0,Data!H19)</f>
        <v>Raiders</v>
      </c>
      <c r="O18" s="2" t="str">
        <f>IF(Data!$S$3&lt;Engine!O$1,0,Data!I19)</f>
        <v>Sharks</v>
      </c>
      <c r="P18" s="2" t="str">
        <f>IF(Data!$S$3&lt;Engine!P$1,0,Data!J19)</f>
        <v>Wests Tigers</v>
      </c>
      <c r="Q18" s="11" t="str">
        <f>IF(Data!B19=1,Data!K19,"No Tips")</f>
        <v>Storm</v>
      </c>
      <c r="R18" s="2">
        <f>Data!L19</f>
        <v>30</v>
      </c>
      <c r="S18" s="2">
        <f>Data!M19</f>
        <v>1164</v>
      </c>
      <c r="T18" s="1">
        <f>IF(I18="","",COUNTIF('Live Ladder'!P:P,I18)+COUNTIF('Live Ladder'!P:P,J18)+COUNTIF('Live Ladder'!P:P,K18)+COUNTIF('Live Ladder'!P:P,L18)+COUNTIF('Live Ladder'!P:P,M18)+COUNTIF('Live Ladder'!P:P,N18)+COUNTIF('Live Ladder'!P:P,O18)+COUNTIF('Live Ladder'!P:P,P18))</f>
        <v>0</v>
      </c>
      <c r="U18" s="1">
        <f>IF(I18="","",IF(COUNTIF('Live Ladder'!P:P,Engine!Q18)=1,2,IF(COUNTIF('Live Ladder'!Q:Q,Engine!Q18)=1,-2,0)))</f>
        <v>0</v>
      </c>
      <c r="V18" s="1">
        <f>IF(I18="","",IF(T18=Data!S$3,2,0))</f>
        <v>0</v>
      </c>
      <c r="W18" s="1">
        <f t="shared" si="11"/>
        <v>0</v>
      </c>
      <c r="X18" s="1">
        <f>IF(I18="",AE$2,IF(I18='Live Ladder'!B$4,'Live Ladder'!C$4,'Live Ladder'!D$4)+IF(J18='Live Ladder'!B$5,'Live Ladder'!C$5,'Live Ladder'!D$5)+IF(K18='Live Ladder'!B$6,'Live Ladder'!C$6,'Live Ladder'!D$6)+IF(L18='Live Ladder'!B$7,'Live Ladder'!C$7,'Live Ladder'!D$7)+IF(M18='Live Ladder'!B$8,'Live Ladder'!C$8,'Live Ladder'!D$8)+IF(N18='Live Ladder'!B$9,'Live Ladder'!C$9,'Live Ladder'!D$9)+IF(O18='Live Ladder'!B$10,'Live Ladder'!C$10,'Live Ladder'!D$10)+IF(P18='Live Ladder'!B$11,'Live Ladder'!C$11,'Live Ladder'!D$11))</f>
        <v>18</v>
      </c>
      <c r="Y18">
        <f t="shared" si="17"/>
        <v>30</v>
      </c>
      <c r="Z18">
        <f t="shared" si="12"/>
        <v>1182</v>
      </c>
      <c r="AA18" s="111">
        <f t="shared" si="13"/>
        <v>30.011820076999999</v>
      </c>
      <c r="AB18">
        <f t="shared" si="16"/>
        <v>0</v>
      </c>
      <c r="AC18">
        <f>IF(I18="","",IF(I18='Live Ladder'!B$4,'Live Ladder'!C$4,'Live Ladder'!D$4)+IF(J18='Live Ladder'!B$5,'Live Ladder'!C$5,'Live Ladder'!D$5)+IF(K18='Live Ladder'!B$6,'Live Ladder'!C$6,'Live Ladder'!D$6)+IF(L18='Live Ladder'!B$7,'Live Ladder'!C$7,'Live Ladder'!D$7)+IF(M18='Live Ladder'!B$8,'Live Ladder'!C$8,'Live Ladder'!D$8)+IF(N18='Live Ladder'!B$9,'Live Ladder'!C$9,'Live Ladder'!D$9)+IF(O18='Live Ladder'!B$10,'Live Ladder'!C$10,'Live Ladder'!D$10)+IF(P18='Live Ladder'!B$11,'Live Ladder'!C$11,'Live Ladder'!D$11))</f>
        <v>18</v>
      </c>
      <c r="AF18">
        <f>IF(I18="","",IF(Q18="",0,IF(AND(Q18&gt;0,COUNTIF('Stats Calculator'!$T$24:$AA$24,Q18)=1),HLOOKUP(Q18,'Stats Calculator'!$T$24:$AA$27,4,FALSE),IF(AND(Q18&gt;0,COUNTIF('Stats Calculator'!$T$25:$AA$25,Q18)=1),HLOOKUP(Q18,'Stats Calculator'!$T$25:$AA$27,3,FALSE)))))</f>
        <v>3</v>
      </c>
      <c r="AG18">
        <f>IF(I18="","",COUNTIF(I18,'Stats Calculator'!E$31)+COUNTIF(J18,'Stats Calculator'!E$32)+COUNTIF(K18,'Stats Calculator'!E$33)+COUNTIF(L18,'Stats Calculator'!E$34)+COUNTIF(M18,'Stats Calculator'!E$35)+COUNTIF(N18,'Stats Calculator'!E$36)+COUNTIF(O18,'Stats Calculator'!E$37)+COUNTIF(P18,'Stats Calculator'!E$38)-8+Data!S$3)</f>
        <v>0</v>
      </c>
      <c r="AH18">
        <f>IF(I18="","",IF(Q18="",0,IF(Q18=0,0,IF(VLOOKUP(Engine!AF18,'Stats Calculator'!B$31:E$38,4,FALSE)="",0,IF(VLOOKUP(Engine!AF18,'Stats Calculator'!B$31:E$38,4,FALSE)=Q18,2,-2)))))</f>
        <v>0</v>
      </c>
      <c r="AI18">
        <f>IF(I18="","",Data!S$3-COUNTA('Stats Calculator'!E$31:E$38))</f>
        <v>7</v>
      </c>
      <c r="AJ18">
        <f>IF(I18="","",IF(AF18=0,0,IF(VLOOKUP(AF18,'Stats Calculator'!B$31:E$38,4,FALSE)&gt;0,0,2)))</f>
        <v>2</v>
      </c>
      <c r="AK18">
        <f>IF(I18="","",IF(Data!S$3-Engine!AI18=AG18,2,0))</f>
        <v>0</v>
      </c>
      <c r="AL18">
        <f t="shared" si="14"/>
        <v>9</v>
      </c>
    </row>
    <row r="19" spans="1:38" x14ac:dyDescent="0.35">
      <c r="A19">
        <v>18</v>
      </c>
      <c r="B19">
        <f t="shared" si="0"/>
        <v>41</v>
      </c>
      <c r="C19" s="111">
        <f t="shared" si="8"/>
        <v>24.011620076</v>
      </c>
      <c r="D19">
        <f t="shared" si="1"/>
        <v>39</v>
      </c>
      <c r="E19" s="3" t="str">
        <f t="shared" si="9"/>
        <v>p</v>
      </c>
      <c r="F19">
        <f t="shared" si="10"/>
        <v>2</v>
      </c>
      <c r="G19">
        <v>76</v>
      </c>
      <c r="H19" t="str">
        <f>Data!A20</f>
        <v>GeorgeTheDragon</v>
      </c>
      <c r="I19" s="2" t="str">
        <f>Data!C20</f>
        <v>Dragons</v>
      </c>
      <c r="J19" s="2" t="str">
        <f>Data!D20</f>
        <v>Bulldogs</v>
      </c>
      <c r="K19" s="2" t="str">
        <f>Data!E20</f>
        <v>Storm</v>
      </c>
      <c r="L19" s="2" t="str">
        <f>IF(Data!$S$3&lt;Engine!L$1,0,Data!F20)</f>
        <v>Broncos</v>
      </c>
      <c r="M19" s="2" t="str">
        <f>IF(Data!$S$3&lt;Engine!M$1,0,Data!G20)</f>
        <v>Panthers</v>
      </c>
      <c r="N19" s="2" t="str">
        <f>IF(Data!$S$3&lt;Engine!N$1,0,Data!H20)</f>
        <v>Raiders</v>
      </c>
      <c r="O19" s="2" t="str">
        <f>IF(Data!$S$3&lt;Engine!O$1,0,Data!I20)</f>
        <v>Sharks</v>
      </c>
      <c r="P19" s="2" t="str">
        <f>IF(Data!$S$3&lt;Engine!P$1,0,Data!J20)</f>
        <v>Eels</v>
      </c>
      <c r="Q19" s="11" t="str">
        <f>IF(Data!B20=1,Data!K20,"No Tips")</f>
        <v>Broncos</v>
      </c>
      <c r="R19" s="2">
        <f>Data!L20</f>
        <v>24</v>
      </c>
      <c r="S19" s="2">
        <f>Data!M20</f>
        <v>1162</v>
      </c>
      <c r="T19" s="1">
        <f>IF(I19="","",COUNTIF('Live Ladder'!P:P,I19)+COUNTIF('Live Ladder'!P:P,J19)+COUNTIF('Live Ladder'!P:P,K19)+COUNTIF('Live Ladder'!P:P,L19)+COUNTIF('Live Ladder'!P:P,M19)+COUNTIF('Live Ladder'!P:P,N19)+COUNTIF('Live Ladder'!P:P,O19)+COUNTIF('Live Ladder'!P:P,P19))</f>
        <v>1</v>
      </c>
      <c r="U19" s="1">
        <f>IF(I19="","",IF(COUNTIF('Live Ladder'!P:P,Engine!Q19)=1,2,IF(COUNTIF('Live Ladder'!Q:Q,Engine!Q19)=1,-2,0)))</f>
        <v>0</v>
      </c>
      <c r="V19" s="1">
        <f>IF(I19="","",IF(T19=Data!S$3,2,0))</f>
        <v>0</v>
      </c>
      <c r="W19" s="1">
        <f t="shared" si="11"/>
        <v>1</v>
      </c>
      <c r="X19" s="1">
        <f>IF(I19="",AE$2,IF(I19='Live Ladder'!B$4,'Live Ladder'!C$4,'Live Ladder'!D$4)+IF(J19='Live Ladder'!B$5,'Live Ladder'!C$5,'Live Ladder'!D$5)+IF(K19='Live Ladder'!B$6,'Live Ladder'!C$6,'Live Ladder'!D$6)+IF(L19='Live Ladder'!B$7,'Live Ladder'!C$7,'Live Ladder'!D$7)+IF(M19='Live Ladder'!B$8,'Live Ladder'!C$8,'Live Ladder'!D$8)+IF(N19='Live Ladder'!B$9,'Live Ladder'!C$9,'Live Ladder'!D$9)+IF(O19='Live Ladder'!B$10,'Live Ladder'!C$10,'Live Ladder'!D$10)+IF(P19='Live Ladder'!B$11,'Live Ladder'!C$11,'Live Ladder'!D$11))</f>
        <v>20</v>
      </c>
      <c r="Y19">
        <f t="shared" si="17"/>
        <v>25</v>
      </c>
      <c r="Z19">
        <f t="shared" si="12"/>
        <v>1182</v>
      </c>
      <c r="AA19" s="111">
        <f t="shared" si="13"/>
        <v>25.011820075999999</v>
      </c>
      <c r="AB19">
        <f t="shared" si="16"/>
        <v>1</v>
      </c>
      <c r="AC19">
        <f>IF(I19="","",IF(I19='Live Ladder'!B$4,'Live Ladder'!C$4,'Live Ladder'!D$4)+IF(J19='Live Ladder'!B$5,'Live Ladder'!C$5,'Live Ladder'!D$5)+IF(K19='Live Ladder'!B$6,'Live Ladder'!C$6,'Live Ladder'!D$6)+IF(L19='Live Ladder'!B$7,'Live Ladder'!C$7,'Live Ladder'!D$7)+IF(M19='Live Ladder'!B$8,'Live Ladder'!C$8,'Live Ladder'!D$8)+IF(N19='Live Ladder'!B$9,'Live Ladder'!C$9,'Live Ladder'!D$9)+IF(O19='Live Ladder'!B$10,'Live Ladder'!C$10,'Live Ladder'!D$10)+IF(P19='Live Ladder'!B$11,'Live Ladder'!C$11,'Live Ladder'!D$11))</f>
        <v>20</v>
      </c>
      <c r="AF19">
        <f>IF(I19="","",IF(Q19="",0,IF(AND(Q19&gt;0,COUNTIF('Stats Calculator'!$T$24:$AA$24,Q19)=1),HLOOKUP(Q19,'Stats Calculator'!$T$24:$AA$27,4,FALSE),IF(AND(Q19&gt;0,COUNTIF('Stats Calculator'!$T$25:$AA$25,Q19)=1),HLOOKUP(Q19,'Stats Calculator'!$T$25:$AA$27,3,FALSE)))))</f>
        <v>4</v>
      </c>
      <c r="AG19">
        <f>IF(I19="","",COUNTIF(I19,'Stats Calculator'!E$31)+COUNTIF(J19,'Stats Calculator'!E$32)+COUNTIF(K19,'Stats Calculator'!E$33)+COUNTIF(L19,'Stats Calculator'!E$34)+COUNTIF(M19,'Stats Calculator'!E$35)+COUNTIF(N19,'Stats Calculator'!E$36)+COUNTIF(O19,'Stats Calculator'!E$37)+COUNTIF(P19,'Stats Calculator'!E$38)-8+Data!S$3)</f>
        <v>1</v>
      </c>
      <c r="AH19">
        <f>IF(I19="","",IF(Q19="",0,IF(Q19=0,0,IF(VLOOKUP(Engine!AF19,'Stats Calculator'!B$31:E$38,4,FALSE)="",0,IF(VLOOKUP(Engine!AF19,'Stats Calculator'!B$31:E$38,4,FALSE)=Q19,2,-2)))))</f>
        <v>0</v>
      </c>
      <c r="AI19">
        <f>IF(I19="","",Data!S$3-COUNTA('Stats Calculator'!E$31:E$38))</f>
        <v>7</v>
      </c>
      <c r="AJ19">
        <f>IF(I19="","",IF(AF19=0,0,IF(VLOOKUP(AF19,'Stats Calculator'!B$31:E$38,4,FALSE)&gt;0,0,2)))</f>
        <v>2</v>
      </c>
      <c r="AK19">
        <f>IF(I19="","",IF(Data!S$3-Engine!AI19=AG19,2,0))</f>
        <v>2</v>
      </c>
      <c r="AL19">
        <f t="shared" si="14"/>
        <v>12</v>
      </c>
    </row>
    <row r="20" spans="1:38" x14ac:dyDescent="0.35">
      <c r="A20">
        <v>19</v>
      </c>
      <c r="B20">
        <f t="shared" si="0"/>
        <v>33</v>
      </c>
      <c r="C20" s="111">
        <f t="shared" si="8"/>
        <v>27.011690075000001</v>
      </c>
      <c r="D20">
        <f t="shared" si="1"/>
        <v>32</v>
      </c>
      <c r="E20" s="3" t="str">
        <f t="shared" si="9"/>
        <v>p</v>
      </c>
      <c r="F20">
        <f t="shared" si="10"/>
        <v>1</v>
      </c>
      <c r="G20">
        <v>75</v>
      </c>
      <c r="H20" t="str">
        <f>Data!A21</f>
        <v>Guru2810</v>
      </c>
      <c r="I20" s="2" t="str">
        <f>Data!C21</f>
        <v>Sea Eagles</v>
      </c>
      <c r="J20" s="2" t="str">
        <f>Data!D21</f>
        <v>Bulldogs</v>
      </c>
      <c r="K20" s="2" t="str">
        <f>Data!E21</f>
        <v>Storm</v>
      </c>
      <c r="L20" s="2" t="str">
        <f>IF(Data!$S$3&lt;Engine!L$1,0,Data!F21)</f>
        <v>Broncos</v>
      </c>
      <c r="M20" s="2" t="str">
        <f>IF(Data!$S$3&lt;Engine!M$1,0,Data!G21)</f>
        <v>Roosters</v>
      </c>
      <c r="N20" s="2" t="str">
        <f>IF(Data!$S$3&lt;Engine!N$1,0,Data!H21)</f>
        <v>Raiders</v>
      </c>
      <c r="O20" s="2" t="str">
        <f>IF(Data!$S$3&lt;Engine!O$1,0,Data!I21)</f>
        <v>Sharks</v>
      </c>
      <c r="P20" s="2" t="str">
        <f>IF(Data!$S$3&lt;Engine!P$1,0,Data!J21)</f>
        <v>Wests Tigers</v>
      </c>
      <c r="Q20" s="11" t="str">
        <f>IF(Data!B21=1,Data!K21,"No Tips")</f>
        <v>Storm</v>
      </c>
      <c r="R20" s="2">
        <f>Data!L21</f>
        <v>27</v>
      </c>
      <c r="S20" s="2">
        <f>Data!M21</f>
        <v>1169</v>
      </c>
      <c r="T20" s="1">
        <f>IF(I20="","",COUNTIF('Live Ladder'!P:P,I20)+COUNTIF('Live Ladder'!P:P,J20)+COUNTIF('Live Ladder'!P:P,K20)+COUNTIF('Live Ladder'!P:P,L20)+COUNTIF('Live Ladder'!P:P,M20)+COUNTIF('Live Ladder'!P:P,N20)+COUNTIF('Live Ladder'!P:P,O20)+COUNTIF('Live Ladder'!P:P,P20))</f>
        <v>0</v>
      </c>
      <c r="U20" s="1">
        <f>IF(I20="","",IF(COUNTIF('Live Ladder'!P:P,Engine!Q20)=1,2,IF(COUNTIF('Live Ladder'!Q:Q,Engine!Q20)=1,-2,0)))</f>
        <v>0</v>
      </c>
      <c r="V20" s="1">
        <f>IF(I20="","",IF(T20=Data!S$3,2,0))</f>
        <v>0</v>
      </c>
      <c r="W20" s="1">
        <f t="shared" si="11"/>
        <v>0</v>
      </c>
      <c r="X20" s="1">
        <f>IF(I20="",AE$2,IF(I20='Live Ladder'!B$4,'Live Ladder'!C$4,'Live Ladder'!D$4)+IF(J20='Live Ladder'!B$5,'Live Ladder'!C$5,'Live Ladder'!D$5)+IF(K20='Live Ladder'!B$6,'Live Ladder'!C$6,'Live Ladder'!D$6)+IF(L20='Live Ladder'!B$7,'Live Ladder'!C$7,'Live Ladder'!D$7)+IF(M20='Live Ladder'!B$8,'Live Ladder'!C$8,'Live Ladder'!D$8)+IF(N20='Live Ladder'!B$9,'Live Ladder'!C$9,'Live Ladder'!D$9)+IF(O20='Live Ladder'!B$10,'Live Ladder'!C$10,'Live Ladder'!D$10)+IF(P20='Live Ladder'!B$11,'Live Ladder'!C$11,'Live Ladder'!D$11))</f>
        <v>18</v>
      </c>
      <c r="Y20">
        <f t="shared" si="17"/>
        <v>27</v>
      </c>
      <c r="Z20">
        <f t="shared" si="12"/>
        <v>1187</v>
      </c>
      <c r="AA20" s="111">
        <f t="shared" si="13"/>
        <v>27.011870074999997</v>
      </c>
      <c r="AB20">
        <f t="shared" si="16"/>
        <v>0</v>
      </c>
      <c r="AC20">
        <f>IF(I20="","",IF(I20='Live Ladder'!B$4,'Live Ladder'!C$4,'Live Ladder'!D$4)+IF(J20='Live Ladder'!B$5,'Live Ladder'!C$5,'Live Ladder'!D$5)+IF(K20='Live Ladder'!B$6,'Live Ladder'!C$6,'Live Ladder'!D$6)+IF(L20='Live Ladder'!B$7,'Live Ladder'!C$7,'Live Ladder'!D$7)+IF(M20='Live Ladder'!B$8,'Live Ladder'!C$8,'Live Ladder'!D$8)+IF(N20='Live Ladder'!B$9,'Live Ladder'!C$9,'Live Ladder'!D$9)+IF(O20='Live Ladder'!B$10,'Live Ladder'!C$10,'Live Ladder'!D$10)+IF(P20='Live Ladder'!B$11,'Live Ladder'!C$11,'Live Ladder'!D$11))</f>
        <v>18</v>
      </c>
      <c r="AF20">
        <f>IF(I20="","",IF(Q20="",0,IF(AND(Q20&gt;0,COUNTIF('Stats Calculator'!$T$24:$AA$24,Q20)=1),HLOOKUP(Q20,'Stats Calculator'!$T$24:$AA$27,4,FALSE),IF(AND(Q20&gt;0,COUNTIF('Stats Calculator'!$T$25:$AA$25,Q20)=1),HLOOKUP(Q20,'Stats Calculator'!$T$25:$AA$27,3,FALSE)))))</f>
        <v>3</v>
      </c>
      <c r="AG20">
        <f>IF(I20="","",COUNTIF(I20,'Stats Calculator'!E$31)+COUNTIF(J20,'Stats Calculator'!E$32)+COUNTIF(K20,'Stats Calculator'!E$33)+COUNTIF(L20,'Stats Calculator'!E$34)+COUNTIF(M20,'Stats Calculator'!E$35)+COUNTIF(N20,'Stats Calculator'!E$36)+COUNTIF(O20,'Stats Calculator'!E$37)+COUNTIF(P20,'Stats Calculator'!E$38)-8+Data!S$3)</f>
        <v>0</v>
      </c>
      <c r="AH20">
        <f>IF(I20="","",IF(Q20="",0,IF(Q20=0,0,IF(VLOOKUP(Engine!AF20,'Stats Calculator'!B$31:E$38,4,FALSE)="",0,IF(VLOOKUP(Engine!AF20,'Stats Calculator'!B$31:E$38,4,FALSE)=Q20,2,-2)))))</f>
        <v>0</v>
      </c>
      <c r="AI20">
        <f>IF(I20="","",Data!S$3-COUNTA('Stats Calculator'!E$31:E$38))</f>
        <v>7</v>
      </c>
      <c r="AJ20">
        <f>IF(I20="","",IF(AF20=0,0,IF(VLOOKUP(AF20,'Stats Calculator'!B$31:E$38,4,FALSE)&gt;0,0,2)))</f>
        <v>2</v>
      </c>
      <c r="AK20">
        <f>IF(I20="","",IF(Data!S$3-Engine!AI20=AG20,2,0))</f>
        <v>0</v>
      </c>
      <c r="AL20">
        <f t="shared" si="14"/>
        <v>9</v>
      </c>
    </row>
    <row r="21" spans="1:38" x14ac:dyDescent="0.35">
      <c r="A21">
        <v>20</v>
      </c>
      <c r="B21">
        <f t="shared" si="0"/>
        <v>36</v>
      </c>
      <c r="C21" s="111">
        <f t="shared" si="8"/>
        <v>27.011170073999999</v>
      </c>
      <c r="D21">
        <f t="shared" si="1"/>
        <v>34</v>
      </c>
      <c r="E21" s="3" t="str">
        <f t="shared" si="9"/>
        <v>p</v>
      </c>
      <c r="F21">
        <f t="shared" si="10"/>
        <v>2</v>
      </c>
      <c r="G21">
        <v>74</v>
      </c>
      <c r="H21" t="str">
        <f>Data!A22</f>
        <v>I miss Benji</v>
      </c>
      <c r="I21" s="2" t="str">
        <f>Data!C22</f>
        <v>Sea Eagles</v>
      </c>
      <c r="J21" s="2" t="str">
        <f>Data!D22</f>
        <v>Bulldogs</v>
      </c>
      <c r="K21" s="2" t="str">
        <f>Data!E22</f>
        <v>Storm</v>
      </c>
      <c r="L21" s="2" t="str">
        <f>IF(Data!$S$3&lt;Engine!L$1,0,Data!F22)</f>
        <v>Broncos</v>
      </c>
      <c r="M21" s="2" t="str">
        <f>IF(Data!$S$3&lt;Engine!M$1,0,Data!G22)</f>
        <v>Panthers</v>
      </c>
      <c r="N21" s="2" t="str">
        <f>IF(Data!$S$3&lt;Engine!N$1,0,Data!H22)</f>
        <v>Raiders</v>
      </c>
      <c r="O21" s="2" t="str">
        <f>IF(Data!$S$3&lt;Engine!O$1,0,Data!I22)</f>
        <v>Sharks</v>
      </c>
      <c r="P21" s="2" t="str">
        <f>IF(Data!$S$3&lt;Engine!P$1,0,Data!J22)</f>
        <v>Wests Tigers</v>
      </c>
      <c r="Q21" s="11" t="str">
        <f>IF(Data!B22=1,Data!K22,"No Tips")</f>
        <v>Storm</v>
      </c>
      <c r="R21" s="2">
        <f>Data!L22</f>
        <v>27</v>
      </c>
      <c r="S21" s="2">
        <f>Data!M22</f>
        <v>1117</v>
      </c>
      <c r="T21" s="1">
        <f>IF(I21="","",COUNTIF('Live Ladder'!P:P,I21)+COUNTIF('Live Ladder'!P:P,J21)+COUNTIF('Live Ladder'!P:P,K21)+COUNTIF('Live Ladder'!P:P,L21)+COUNTIF('Live Ladder'!P:P,M21)+COUNTIF('Live Ladder'!P:P,N21)+COUNTIF('Live Ladder'!P:P,O21)+COUNTIF('Live Ladder'!P:P,P21))</f>
        <v>0</v>
      </c>
      <c r="U21" s="1">
        <f>IF(I21="","",IF(COUNTIF('Live Ladder'!P:P,Engine!Q21)=1,2,IF(COUNTIF('Live Ladder'!Q:Q,Engine!Q21)=1,-2,0)))</f>
        <v>0</v>
      </c>
      <c r="V21" s="1">
        <f>IF(I21="","",IF(T21=Data!S$3,2,0))</f>
        <v>0</v>
      </c>
      <c r="W21" s="1">
        <f t="shared" si="11"/>
        <v>0</v>
      </c>
      <c r="X21" s="1">
        <f>IF(I21="",AE$2,IF(I21='Live Ladder'!B$4,'Live Ladder'!C$4,'Live Ladder'!D$4)+IF(J21='Live Ladder'!B$5,'Live Ladder'!C$5,'Live Ladder'!D$5)+IF(K21='Live Ladder'!B$6,'Live Ladder'!C$6,'Live Ladder'!D$6)+IF(L21='Live Ladder'!B$7,'Live Ladder'!C$7,'Live Ladder'!D$7)+IF(M21='Live Ladder'!B$8,'Live Ladder'!C$8,'Live Ladder'!D$8)+IF(N21='Live Ladder'!B$9,'Live Ladder'!C$9,'Live Ladder'!D$9)+IF(O21='Live Ladder'!B$10,'Live Ladder'!C$10,'Live Ladder'!D$10)+IF(P21='Live Ladder'!B$11,'Live Ladder'!C$11,'Live Ladder'!D$11))</f>
        <v>18</v>
      </c>
      <c r="Y21">
        <f t="shared" si="17"/>
        <v>27</v>
      </c>
      <c r="Z21">
        <f t="shared" si="12"/>
        <v>1135</v>
      </c>
      <c r="AA21" s="111">
        <f t="shared" si="13"/>
        <v>27.011350073999999</v>
      </c>
      <c r="AB21">
        <f t="shared" si="16"/>
        <v>0</v>
      </c>
      <c r="AC21">
        <f>IF(I21="","",IF(I21='Live Ladder'!B$4,'Live Ladder'!C$4,'Live Ladder'!D$4)+IF(J21='Live Ladder'!B$5,'Live Ladder'!C$5,'Live Ladder'!D$5)+IF(K21='Live Ladder'!B$6,'Live Ladder'!C$6,'Live Ladder'!D$6)+IF(L21='Live Ladder'!B$7,'Live Ladder'!C$7,'Live Ladder'!D$7)+IF(M21='Live Ladder'!B$8,'Live Ladder'!C$8,'Live Ladder'!D$8)+IF(N21='Live Ladder'!B$9,'Live Ladder'!C$9,'Live Ladder'!D$9)+IF(O21='Live Ladder'!B$10,'Live Ladder'!C$10,'Live Ladder'!D$10)+IF(P21='Live Ladder'!B$11,'Live Ladder'!C$11,'Live Ladder'!D$11))</f>
        <v>18</v>
      </c>
      <c r="AF21">
        <f>IF(I21="","",IF(Q21="",0,IF(AND(Q21&gt;0,COUNTIF('Stats Calculator'!$T$24:$AA$24,Q21)=1),HLOOKUP(Q21,'Stats Calculator'!$T$24:$AA$27,4,FALSE),IF(AND(Q21&gt;0,COUNTIF('Stats Calculator'!$T$25:$AA$25,Q21)=1),HLOOKUP(Q21,'Stats Calculator'!$T$25:$AA$27,3,FALSE)))))</f>
        <v>3</v>
      </c>
      <c r="AG21">
        <f>IF(I21="","",COUNTIF(I21,'Stats Calculator'!E$31)+COUNTIF(J21,'Stats Calculator'!E$32)+COUNTIF(K21,'Stats Calculator'!E$33)+COUNTIF(L21,'Stats Calculator'!E$34)+COUNTIF(M21,'Stats Calculator'!E$35)+COUNTIF(N21,'Stats Calculator'!E$36)+COUNTIF(O21,'Stats Calculator'!E$37)+COUNTIF(P21,'Stats Calculator'!E$38)-8+Data!S$3)</f>
        <v>0</v>
      </c>
      <c r="AH21">
        <f>IF(I21="","",IF(Q21="",0,IF(Q21=0,0,IF(VLOOKUP(Engine!AF21,'Stats Calculator'!B$31:E$38,4,FALSE)="",0,IF(VLOOKUP(Engine!AF21,'Stats Calculator'!B$31:E$38,4,FALSE)=Q21,2,-2)))))</f>
        <v>0</v>
      </c>
      <c r="AI21">
        <f>IF(I21="","",Data!S$3-COUNTA('Stats Calculator'!E$31:E$38))</f>
        <v>7</v>
      </c>
      <c r="AJ21">
        <f>IF(I21="","",IF(AF21=0,0,IF(VLOOKUP(AF21,'Stats Calculator'!B$31:E$38,4,FALSE)&gt;0,0,2)))</f>
        <v>2</v>
      </c>
      <c r="AK21">
        <f>IF(I21="","",IF(Data!S$3-Engine!AI21=AG21,2,0))</f>
        <v>0</v>
      </c>
      <c r="AL21">
        <f t="shared" si="14"/>
        <v>9</v>
      </c>
    </row>
    <row r="22" spans="1:38" x14ac:dyDescent="0.35">
      <c r="A22">
        <v>21</v>
      </c>
      <c r="B22">
        <f t="shared" si="0"/>
        <v>55</v>
      </c>
      <c r="C22" s="111">
        <f t="shared" si="8"/>
        <v>18.009840072999999</v>
      </c>
      <c r="D22">
        <f t="shared" si="1"/>
        <v>52</v>
      </c>
      <c r="E22" s="3" t="str">
        <f t="shared" si="9"/>
        <v>p</v>
      </c>
      <c r="F22">
        <f t="shared" si="10"/>
        <v>3</v>
      </c>
      <c r="G22">
        <v>73</v>
      </c>
      <c r="H22" t="str">
        <f>Data!A23</f>
        <v>isha68</v>
      </c>
      <c r="I22" s="2" t="str">
        <f>Data!C23</f>
        <v>Dragons</v>
      </c>
      <c r="J22" s="2" t="str">
        <f>Data!D23</f>
        <v>Bulldogs</v>
      </c>
      <c r="K22" s="2" t="str">
        <f>Data!E23</f>
        <v>Storm</v>
      </c>
      <c r="L22" s="2" t="str">
        <f>IF(Data!$S$3&lt;Engine!L$1,0,Data!F23)</f>
        <v>Warriors</v>
      </c>
      <c r="M22" s="2" t="str">
        <f>IF(Data!$S$3&lt;Engine!M$1,0,Data!G23)</f>
        <v>Panthers</v>
      </c>
      <c r="N22" s="2" t="str">
        <f>IF(Data!$S$3&lt;Engine!N$1,0,Data!H23)</f>
        <v>Titans</v>
      </c>
      <c r="O22" s="2" t="str">
        <f>IF(Data!$S$3&lt;Engine!O$1,0,Data!I23)</f>
        <v>Sharks</v>
      </c>
      <c r="P22" s="2" t="str">
        <f>IF(Data!$S$3&lt;Engine!P$1,0,Data!J23)</f>
        <v>Eels</v>
      </c>
      <c r="Q22" s="11" t="str">
        <f>IF(Data!B23=1,Data!K23,"No Tips")</f>
        <v>Dragons</v>
      </c>
      <c r="R22" s="2">
        <f>Data!L23</f>
        <v>18</v>
      </c>
      <c r="S22" s="2">
        <f>Data!M23</f>
        <v>984</v>
      </c>
      <c r="T22" s="1">
        <f>IF(I22="","",COUNTIF('Live Ladder'!P:P,I22)+COUNTIF('Live Ladder'!P:P,J22)+COUNTIF('Live Ladder'!P:P,K22)+COUNTIF('Live Ladder'!P:P,L22)+COUNTIF('Live Ladder'!P:P,M22)+COUNTIF('Live Ladder'!P:P,N22)+COUNTIF('Live Ladder'!P:P,O22)+COUNTIF('Live Ladder'!P:P,P22))</f>
        <v>1</v>
      </c>
      <c r="U22" s="1">
        <f>IF(I22="","",IF(COUNTIF('Live Ladder'!P:P,Engine!Q22)=1,2,IF(COUNTIF('Live Ladder'!Q:Q,Engine!Q22)=1,-2,0)))</f>
        <v>2</v>
      </c>
      <c r="V22" s="1">
        <f>IF(I22="","",IF(T22=Data!S$3,2,0))</f>
        <v>0</v>
      </c>
      <c r="W22" s="1">
        <f t="shared" si="11"/>
        <v>3</v>
      </c>
      <c r="X22" s="1">
        <f>IF(I22="",AE$2,IF(I22='Live Ladder'!B$4,'Live Ladder'!C$4,'Live Ladder'!D$4)+IF(J22='Live Ladder'!B$5,'Live Ladder'!C$5,'Live Ladder'!D$5)+IF(K22='Live Ladder'!B$6,'Live Ladder'!C$6,'Live Ladder'!D$6)+IF(L22='Live Ladder'!B$7,'Live Ladder'!C$7,'Live Ladder'!D$7)+IF(M22='Live Ladder'!B$8,'Live Ladder'!C$8,'Live Ladder'!D$8)+IF(N22='Live Ladder'!B$9,'Live Ladder'!C$9,'Live Ladder'!D$9)+IF(O22='Live Ladder'!B$10,'Live Ladder'!C$10,'Live Ladder'!D$10)+IF(P22='Live Ladder'!B$11,'Live Ladder'!C$11,'Live Ladder'!D$11))</f>
        <v>20</v>
      </c>
      <c r="Y22">
        <f t="shared" si="17"/>
        <v>21</v>
      </c>
      <c r="Z22">
        <f t="shared" si="12"/>
        <v>1004</v>
      </c>
      <c r="AA22" s="111">
        <f t="shared" si="13"/>
        <v>21.010040072999999</v>
      </c>
      <c r="AB22">
        <f t="shared" si="16"/>
        <v>3</v>
      </c>
      <c r="AC22">
        <f>IF(I22="","",IF(I22='Live Ladder'!B$4,'Live Ladder'!C$4,'Live Ladder'!D$4)+IF(J22='Live Ladder'!B$5,'Live Ladder'!C$5,'Live Ladder'!D$5)+IF(K22='Live Ladder'!B$6,'Live Ladder'!C$6,'Live Ladder'!D$6)+IF(L22='Live Ladder'!B$7,'Live Ladder'!C$7,'Live Ladder'!D$7)+IF(M22='Live Ladder'!B$8,'Live Ladder'!C$8,'Live Ladder'!D$8)+IF(N22='Live Ladder'!B$9,'Live Ladder'!C$9,'Live Ladder'!D$9)+IF(O22='Live Ladder'!B$10,'Live Ladder'!C$10,'Live Ladder'!D$10)+IF(P22='Live Ladder'!B$11,'Live Ladder'!C$11,'Live Ladder'!D$11))</f>
        <v>20</v>
      </c>
      <c r="AF22">
        <f>IF(I22="","",IF(Q22="",0,IF(AND(Q22&gt;0,COUNTIF('Stats Calculator'!$T$24:$AA$24,Q22)=1),HLOOKUP(Q22,'Stats Calculator'!$T$24:$AA$27,4,FALSE),IF(AND(Q22&gt;0,COUNTIF('Stats Calculator'!$T$25:$AA$25,Q22)=1),HLOOKUP(Q22,'Stats Calculator'!$T$25:$AA$27,3,FALSE)))))</f>
        <v>1</v>
      </c>
      <c r="AG22">
        <f>IF(I22="","",COUNTIF(I22,'Stats Calculator'!E$31)+COUNTIF(J22,'Stats Calculator'!E$32)+COUNTIF(K22,'Stats Calculator'!E$33)+COUNTIF(L22,'Stats Calculator'!E$34)+COUNTIF(M22,'Stats Calculator'!E$35)+COUNTIF(N22,'Stats Calculator'!E$36)+COUNTIF(O22,'Stats Calculator'!E$37)+COUNTIF(P22,'Stats Calculator'!E$38)-8+Data!S$3)</f>
        <v>1</v>
      </c>
      <c r="AH22">
        <f>IF(I22="","",IF(Q22="",0,IF(Q22=0,0,IF(VLOOKUP(Engine!AF22,'Stats Calculator'!B$31:E$38,4,FALSE)="",0,IF(VLOOKUP(Engine!AF22,'Stats Calculator'!B$31:E$38,4,FALSE)=Q22,2,-2)))))</f>
        <v>2</v>
      </c>
      <c r="AI22">
        <f>IF(I22="","",Data!S$3-COUNTA('Stats Calculator'!E$31:E$38))</f>
        <v>7</v>
      </c>
      <c r="AJ22">
        <f>IF(I22="","",IF(AF22=0,0,IF(VLOOKUP(AF22,'Stats Calculator'!B$31:E$38,4,FALSE)&gt;0,0,2)))</f>
        <v>0</v>
      </c>
      <c r="AK22">
        <f>IF(I22="","",IF(Data!S$3-Engine!AI22=AG22,2,0))</f>
        <v>2</v>
      </c>
      <c r="AL22">
        <f t="shared" si="14"/>
        <v>12</v>
      </c>
    </row>
    <row r="23" spans="1:38" x14ac:dyDescent="0.35">
      <c r="A23">
        <v>22</v>
      </c>
      <c r="B23">
        <f t="shared" si="0"/>
        <v>52</v>
      </c>
      <c r="C23" s="111">
        <f t="shared" si="8"/>
        <v>20.010840072000001</v>
      </c>
      <c r="D23">
        <f t="shared" si="1"/>
        <v>54</v>
      </c>
      <c r="E23" s="3" t="str">
        <f t="shared" si="9"/>
        <v>q</v>
      </c>
      <c r="F23">
        <f t="shared" si="10"/>
        <v>2</v>
      </c>
      <c r="G23">
        <v>72</v>
      </c>
      <c r="H23" t="str">
        <f>Data!A24</f>
        <v>iTerry</v>
      </c>
      <c r="I23" s="2" t="str">
        <f>Data!C24</f>
        <v>Sea Eagles</v>
      </c>
      <c r="J23" s="2" t="str">
        <f>Data!D24</f>
        <v>Bulldogs</v>
      </c>
      <c r="K23" s="2" t="str">
        <f>Data!E24</f>
        <v>Storm</v>
      </c>
      <c r="L23" s="2" t="str">
        <f>IF(Data!$S$3&lt;Engine!L$1,0,Data!F24)</f>
        <v>Broncos</v>
      </c>
      <c r="M23" s="2" t="str">
        <f>IF(Data!$S$3&lt;Engine!M$1,0,Data!G24)</f>
        <v>Panthers</v>
      </c>
      <c r="N23" s="2" t="str">
        <f>IF(Data!$S$3&lt;Engine!N$1,0,Data!H24)</f>
        <v>Raiders</v>
      </c>
      <c r="O23" s="2" t="str">
        <f>IF(Data!$S$3&lt;Engine!O$1,0,Data!I24)</f>
        <v>Sharks</v>
      </c>
      <c r="P23" s="2" t="str">
        <f>IF(Data!$S$3&lt;Engine!P$1,0,Data!J24)</f>
        <v>Wests Tigers</v>
      </c>
      <c r="Q23" s="11" t="str">
        <f>IF(Data!B24=1,Data!K24,"No Tips")</f>
        <v>Storm</v>
      </c>
      <c r="R23" s="2">
        <f>Data!L24</f>
        <v>20</v>
      </c>
      <c r="S23" s="2">
        <f>Data!M24</f>
        <v>1084</v>
      </c>
      <c r="T23" s="1">
        <f>IF(I23="","",COUNTIF('Live Ladder'!P:P,I23)+COUNTIF('Live Ladder'!P:P,J23)+COUNTIF('Live Ladder'!P:P,K23)+COUNTIF('Live Ladder'!P:P,L23)+COUNTIF('Live Ladder'!P:P,M23)+COUNTIF('Live Ladder'!P:P,N23)+COUNTIF('Live Ladder'!P:P,O23)+COUNTIF('Live Ladder'!P:P,P23))</f>
        <v>0</v>
      </c>
      <c r="U23" s="1">
        <f>IF(I23="","",IF(COUNTIF('Live Ladder'!P:P,Engine!Q23)=1,2,IF(COUNTIF('Live Ladder'!Q:Q,Engine!Q23)=1,-2,0)))</f>
        <v>0</v>
      </c>
      <c r="V23" s="1">
        <f>IF(I23="","",IF(T23=Data!S$3,2,0))</f>
        <v>0</v>
      </c>
      <c r="W23" s="1">
        <f t="shared" si="11"/>
        <v>0</v>
      </c>
      <c r="X23" s="1">
        <f>IF(I23="",AE$2,IF(I23='Live Ladder'!B$4,'Live Ladder'!C$4,'Live Ladder'!D$4)+IF(J23='Live Ladder'!B$5,'Live Ladder'!C$5,'Live Ladder'!D$5)+IF(K23='Live Ladder'!B$6,'Live Ladder'!C$6,'Live Ladder'!D$6)+IF(L23='Live Ladder'!B$7,'Live Ladder'!C$7,'Live Ladder'!D$7)+IF(M23='Live Ladder'!B$8,'Live Ladder'!C$8,'Live Ladder'!D$8)+IF(N23='Live Ladder'!B$9,'Live Ladder'!C$9,'Live Ladder'!D$9)+IF(O23='Live Ladder'!B$10,'Live Ladder'!C$10,'Live Ladder'!D$10)+IF(P23='Live Ladder'!B$11,'Live Ladder'!C$11,'Live Ladder'!D$11))</f>
        <v>18</v>
      </c>
      <c r="Y23">
        <f t="shared" si="17"/>
        <v>20</v>
      </c>
      <c r="Z23">
        <f t="shared" si="12"/>
        <v>1102</v>
      </c>
      <c r="AA23" s="111">
        <f t="shared" si="13"/>
        <v>20.011020071999997</v>
      </c>
      <c r="AB23">
        <f t="shared" si="16"/>
        <v>0</v>
      </c>
      <c r="AC23">
        <f>IF(I23="","",IF(I23='Live Ladder'!B$4,'Live Ladder'!C$4,'Live Ladder'!D$4)+IF(J23='Live Ladder'!B$5,'Live Ladder'!C$5,'Live Ladder'!D$5)+IF(K23='Live Ladder'!B$6,'Live Ladder'!C$6,'Live Ladder'!D$6)+IF(L23='Live Ladder'!B$7,'Live Ladder'!C$7,'Live Ladder'!D$7)+IF(M23='Live Ladder'!B$8,'Live Ladder'!C$8,'Live Ladder'!D$8)+IF(N23='Live Ladder'!B$9,'Live Ladder'!C$9,'Live Ladder'!D$9)+IF(O23='Live Ladder'!B$10,'Live Ladder'!C$10,'Live Ladder'!D$10)+IF(P23='Live Ladder'!B$11,'Live Ladder'!C$11,'Live Ladder'!D$11))</f>
        <v>18</v>
      </c>
      <c r="AF23">
        <f>IF(I23="","",IF(Q23="",0,IF(AND(Q23&gt;0,COUNTIF('Stats Calculator'!$T$24:$AA$24,Q23)=1),HLOOKUP(Q23,'Stats Calculator'!$T$24:$AA$27,4,FALSE),IF(AND(Q23&gt;0,COUNTIF('Stats Calculator'!$T$25:$AA$25,Q23)=1),HLOOKUP(Q23,'Stats Calculator'!$T$25:$AA$27,3,FALSE)))))</f>
        <v>3</v>
      </c>
      <c r="AG23">
        <f>IF(I23="","",COUNTIF(I23,'Stats Calculator'!E$31)+COUNTIF(J23,'Stats Calculator'!E$32)+COUNTIF(K23,'Stats Calculator'!E$33)+COUNTIF(L23,'Stats Calculator'!E$34)+COUNTIF(M23,'Stats Calculator'!E$35)+COUNTIF(N23,'Stats Calculator'!E$36)+COUNTIF(O23,'Stats Calculator'!E$37)+COUNTIF(P23,'Stats Calculator'!E$38)-8+Data!S$3)</f>
        <v>0</v>
      </c>
      <c r="AH23">
        <f>IF(I23="","",IF(Q23="",0,IF(Q23=0,0,IF(VLOOKUP(Engine!AF23,'Stats Calculator'!B$31:E$38,4,FALSE)="",0,IF(VLOOKUP(Engine!AF23,'Stats Calculator'!B$31:E$38,4,FALSE)=Q23,2,-2)))))</f>
        <v>0</v>
      </c>
      <c r="AI23">
        <f>IF(I23="","",Data!S$3-COUNTA('Stats Calculator'!E$31:E$38))</f>
        <v>7</v>
      </c>
      <c r="AJ23">
        <f>IF(I23="","",IF(AF23=0,0,IF(VLOOKUP(AF23,'Stats Calculator'!B$31:E$38,4,FALSE)&gt;0,0,2)))</f>
        <v>2</v>
      </c>
      <c r="AK23">
        <f>IF(I23="","",IF(Data!S$3-Engine!AI23=AG23,2,0))</f>
        <v>0</v>
      </c>
      <c r="AL23">
        <f t="shared" si="14"/>
        <v>9</v>
      </c>
    </row>
    <row r="24" spans="1:38" x14ac:dyDescent="0.35">
      <c r="A24">
        <v>23</v>
      </c>
      <c r="B24">
        <f t="shared" si="0"/>
        <v>21</v>
      </c>
      <c r="C24" s="111">
        <f t="shared" si="8"/>
        <v>30.011410071</v>
      </c>
      <c r="D24">
        <f t="shared" si="1"/>
        <v>19</v>
      </c>
      <c r="E24" s="3" t="str">
        <f t="shared" si="9"/>
        <v>p</v>
      </c>
      <c r="F24">
        <f t="shared" si="10"/>
        <v>2</v>
      </c>
      <c r="G24">
        <v>71</v>
      </c>
      <c r="H24" t="str">
        <f>Data!A25</f>
        <v>Krusty</v>
      </c>
      <c r="I24" s="2" t="str">
        <f>Data!C25</f>
        <v>Dragons</v>
      </c>
      <c r="J24" s="2" t="str">
        <f>Data!D25</f>
        <v>Bulldogs</v>
      </c>
      <c r="K24" s="2" t="str">
        <f>Data!E25</f>
        <v>Storm</v>
      </c>
      <c r="L24" s="2" t="str">
        <f>IF(Data!$S$3&lt;Engine!L$1,0,Data!F25)</f>
        <v>Broncos</v>
      </c>
      <c r="M24" s="2" t="str">
        <f>IF(Data!$S$3&lt;Engine!M$1,0,Data!G25)</f>
        <v>Panthers</v>
      </c>
      <c r="N24" s="2" t="str">
        <f>IF(Data!$S$3&lt;Engine!N$1,0,Data!H25)</f>
        <v>Raiders</v>
      </c>
      <c r="O24" s="2" t="str">
        <f>IF(Data!$S$3&lt;Engine!O$1,0,Data!I25)</f>
        <v>Sharks</v>
      </c>
      <c r="P24" s="2" t="str">
        <f>IF(Data!$S$3&lt;Engine!P$1,0,Data!J25)</f>
        <v>Wests Tigers</v>
      </c>
      <c r="Q24" s="11" t="str">
        <f>IF(Data!B25=1,Data!K25,"No Tips")</f>
        <v>Bulldogs</v>
      </c>
      <c r="R24" s="2">
        <f>Data!L25</f>
        <v>30</v>
      </c>
      <c r="S24" s="2">
        <f>Data!M25</f>
        <v>1141</v>
      </c>
      <c r="T24" s="1">
        <f>IF(I24="","",COUNTIF('Live Ladder'!P:P,I24)+COUNTIF('Live Ladder'!P:P,J24)+COUNTIF('Live Ladder'!P:P,K24)+COUNTIF('Live Ladder'!P:P,L24)+COUNTIF('Live Ladder'!P:P,M24)+COUNTIF('Live Ladder'!P:P,N24)+COUNTIF('Live Ladder'!P:P,O24)+COUNTIF('Live Ladder'!P:P,P24))</f>
        <v>1</v>
      </c>
      <c r="U24" s="1">
        <f>IF(I24="","",IF(COUNTIF('Live Ladder'!P:P,Engine!Q24)=1,2,IF(COUNTIF('Live Ladder'!Q:Q,Engine!Q24)=1,-2,0)))</f>
        <v>0</v>
      </c>
      <c r="V24" s="1">
        <f>IF(I24="","",IF(T24=Data!S$3,2,0))</f>
        <v>0</v>
      </c>
      <c r="W24" s="1">
        <f t="shared" si="11"/>
        <v>1</v>
      </c>
      <c r="X24" s="1">
        <f>IF(I24="",AE$2,IF(I24='Live Ladder'!B$4,'Live Ladder'!C$4,'Live Ladder'!D$4)+IF(J24='Live Ladder'!B$5,'Live Ladder'!C$5,'Live Ladder'!D$5)+IF(K24='Live Ladder'!B$6,'Live Ladder'!C$6,'Live Ladder'!D$6)+IF(L24='Live Ladder'!B$7,'Live Ladder'!C$7,'Live Ladder'!D$7)+IF(M24='Live Ladder'!B$8,'Live Ladder'!C$8,'Live Ladder'!D$8)+IF(N24='Live Ladder'!B$9,'Live Ladder'!C$9,'Live Ladder'!D$9)+IF(O24='Live Ladder'!B$10,'Live Ladder'!C$10,'Live Ladder'!D$10)+IF(P24='Live Ladder'!B$11,'Live Ladder'!C$11,'Live Ladder'!D$11))</f>
        <v>20</v>
      </c>
      <c r="Y24">
        <f t="shared" si="17"/>
        <v>31</v>
      </c>
      <c r="Z24">
        <f t="shared" si="12"/>
        <v>1161</v>
      </c>
      <c r="AA24" s="111">
        <f t="shared" si="13"/>
        <v>31.011610071</v>
      </c>
      <c r="AB24">
        <f t="shared" si="16"/>
        <v>1</v>
      </c>
      <c r="AC24">
        <f>IF(I24="","",IF(I24='Live Ladder'!B$4,'Live Ladder'!C$4,'Live Ladder'!D$4)+IF(J24='Live Ladder'!B$5,'Live Ladder'!C$5,'Live Ladder'!D$5)+IF(K24='Live Ladder'!B$6,'Live Ladder'!C$6,'Live Ladder'!D$6)+IF(L24='Live Ladder'!B$7,'Live Ladder'!C$7,'Live Ladder'!D$7)+IF(M24='Live Ladder'!B$8,'Live Ladder'!C$8,'Live Ladder'!D$8)+IF(N24='Live Ladder'!B$9,'Live Ladder'!C$9,'Live Ladder'!D$9)+IF(O24='Live Ladder'!B$10,'Live Ladder'!C$10,'Live Ladder'!D$10)+IF(P24='Live Ladder'!B$11,'Live Ladder'!C$11,'Live Ladder'!D$11))</f>
        <v>20</v>
      </c>
      <c r="AF24">
        <f>IF(I24="","",IF(Q24="",0,IF(AND(Q24&gt;0,COUNTIF('Stats Calculator'!$T$24:$AA$24,Q24)=1),HLOOKUP(Q24,'Stats Calculator'!$T$24:$AA$27,4,FALSE),IF(AND(Q24&gt;0,COUNTIF('Stats Calculator'!$T$25:$AA$25,Q24)=1),HLOOKUP(Q24,'Stats Calculator'!$T$25:$AA$27,3,FALSE)))))</f>
        <v>2</v>
      </c>
      <c r="AG24">
        <f>IF(I24="","",COUNTIF(I24,'Stats Calculator'!E$31)+COUNTIF(J24,'Stats Calculator'!E$32)+COUNTIF(K24,'Stats Calculator'!E$33)+COUNTIF(L24,'Stats Calculator'!E$34)+COUNTIF(M24,'Stats Calculator'!E$35)+COUNTIF(N24,'Stats Calculator'!E$36)+COUNTIF(O24,'Stats Calculator'!E$37)+COUNTIF(P24,'Stats Calculator'!E$38)-8+Data!S$3)</f>
        <v>1</v>
      </c>
      <c r="AH24">
        <f>IF(I24="","",IF(Q24="",0,IF(Q24=0,0,IF(VLOOKUP(Engine!AF24,'Stats Calculator'!B$31:E$38,4,FALSE)="",0,IF(VLOOKUP(Engine!AF24,'Stats Calculator'!B$31:E$38,4,FALSE)=Q24,2,-2)))))</f>
        <v>0</v>
      </c>
      <c r="AI24">
        <f>IF(I24="","",Data!S$3-COUNTA('Stats Calculator'!E$31:E$38))</f>
        <v>7</v>
      </c>
      <c r="AJ24">
        <f>IF(I24="","",IF(AF24=0,0,IF(VLOOKUP(AF24,'Stats Calculator'!B$31:E$38,4,FALSE)&gt;0,0,2)))</f>
        <v>2</v>
      </c>
      <c r="AK24">
        <f>IF(I24="","",IF(Data!S$3-Engine!AI24=AG24,2,0))</f>
        <v>2</v>
      </c>
      <c r="AL24">
        <f t="shared" si="14"/>
        <v>12</v>
      </c>
    </row>
    <row r="25" spans="1:38" x14ac:dyDescent="0.35">
      <c r="A25">
        <v>24</v>
      </c>
      <c r="B25">
        <f t="shared" si="0"/>
        <v>22</v>
      </c>
      <c r="C25" s="111">
        <f t="shared" si="8"/>
        <v>30.01141007</v>
      </c>
      <c r="D25">
        <f t="shared" si="1"/>
        <v>21</v>
      </c>
      <c r="E25" s="3" t="str">
        <f t="shared" si="9"/>
        <v>p</v>
      </c>
      <c r="F25">
        <f t="shared" si="10"/>
        <v>1</v>
      </c>
      <c r="G25">
        <v>70</v>
      </c>
      <c r="H25" t="str">
        <f>Data!A26</f>
        <v>Lou</v>
      </c>
      <c r="I25" s="2" t="str">
        <f>Data!C26</f>
        <v>Sea Eagles</v>
      </c>
      <c r="J25" s="2" t="str">
        <f>Data!D26</f>
        <v>Bulldogs</v>
      </c>
      <c r="K25" s="2" t="str">
        <f>Data!E26</f>
        <v>Storm</v>
      </c>
      <c r="L25" s="2" t="str">
        <f>IF(Data!$S$3&lt;Engine!L$1,0,Data!F26)</f>
        <v>Broncos</v>
      </c>
      <c r="M25" s="2" t="str">
        <f>IF(Data!$S$3&lt;Engine!M$1,0,Data!G26)</f>
        <v>Panthers</v>
      </c>
      <c r="N25" s="2" t="str">
        <f>IF(Data!$S$3&lt;Engine!N$1,0,Data!H26)</f>
        <v>Raiders</v>
      </c>
      <c r="O25" s="2" t="str">
        <f>IF(Data!$S$3&lt;Engine!O$1,0,Data!I26)</f>
        <v>Sharks</v>
      </c>
      <c r="P25" s="2" t="str">
        <f>IF(Data!$S$3&lt;Engine!P$1,0,Data!J26)</f>
        <v>Wests Tigers</v>
      </c>
      <c r="Q25" s="11" t="str">
        <f>IF(Data!B26=1,Data!K26,"No Tips")</f>
        <v>Storm</v>
      </c>
      <c r="R25" s="2">
        <f>Data!L26</f>
        <v>30</v>
      </c>
      <c r="S25" s="2">
        <f>Data!M26</f>
        <v>1141</v>
      </c>
      <c r="T25" s="1">
        <f>IF(I25="","",COUNTIF('Live Ladder'!P:P,I25)+COUNTIF('Live Ladder'!P:P,J25)+COUNTIF('Live Ladder'!P:P,K25)+COUNTIF('Live Ladder'!P:P,L25)+COUNTIF('Live Ladder'!P:P,M25)+COUNTIF('Live Ladder'!P:P,N25)+COUNTIF('Live Ladder'!P:P,O25)+COUNTIF('Live Ladder'!P:P,P25))</f>
        <v>0</v>
      </c>
      <c r="U25" s="1">
        <f>IF(I25="","",IF(COUNTIF('Live Ladder'!P:P,Engine!Q25)=1,2,IF(COUNTIF('Live Ladder'!Q:Q,Engine!Q25)=1,-2,0)))</f>
        <v>0</v>
      </c>
      <c r="V25" s="1">
        <f>IF(I25="","",IF(T25=Data!S$3,2,0))</f>
        <v>0</v>
      </c>
      <c r="W25" s="1">
        <f t="shared" si="11"/>
        <v>0</v>
      </c>
      <c r="X25" s="1">
        <f>IF(I25="",AE$2,IF(I25='Live Ladder'!B$4,'Live Ladder'!C$4,'Live Ladder'!D$4)+IF(J25='Live Ladder'!B$5,'Live Ladder'!C$5,'Live Ladder'!D$5)+IF(K25='Live Ladder'!B$6,'Live Ladder'!C$6,'Live Ladder'!D$6)+IF(L25='Live Ladder'!B$7,'Live Ladder'!C$7,'Live Ladder'!D$7)+IF(M25='Live Ladder'!B$8,'Live Ladder'!C$8,'Live Ladder'!D$8)+IF(N25='Live Ladder'!B$9,'Live Ladder'!C$9,'Live Ladder'!D$9)+IF(O25='Live Ladder'!B$10,'Live Ladder'!C$10,'Live Ladder'!D$10)+IF(P25='Live Ladder'!B$11,'Live Ladder'!C$11,'Live Ladder'!D$11))</f>
        <v>18</v>
      </c>
      <c r="Y25">
        <f t="shared" si="17"/>
        <v>30</v>
      </c>
      <c r="Z25">
        <f t="shared" si="12"/>
        <v>1159</v>
      </c>
      <c r="AA25" s="111">
        <f t="shared" si="13"/>
        <v>30.01159007</v>
      </c>
      <c r="AB25">
        <f t="shared" si="16"/>
        <v>0</v>
      </c>
      <c r="AC25">
        <f>IF(I25="","",IF(I25='Live Ladder'!B$4,'Live Ladder'!C$4,'Live Ladder'!D$4)+IF(J25='Live Ladder'!B$5,'Live Ladder'!C$5,'Live Ladder'!D$5)+IF(K25='Live Ladder'!B$6,'Live Ladder'!C$6,'Live Ladder'!D$6)+IF(L25='Live Ladder'!B$7,'Live Ladder'!C$7,'Live Ladder'!D$7)+IF(M25='Live Ladder'!B$8,'Live Ladder'!C$8,'Live Ladder'!D$8)+IF(N25='Live Ladder'!B$9,'Live Ladder'!C$9,'Live Ladder'!D$9)+IF(O25='Live Ladder'!B$10,'Live Ladder'!C$10,'Live Ladder'!D$10)+IF(P25='Live Ladder'!B$11,'Live Ladder'!C$11,'Live Ladder'!D$11))</f>
        <v>18</v>
      </c>
      <c r="AF25">
        <f>IF(I25="","",IF(Q25="",0,IF(AND(Q25&gt;0,COUNTIF('Stats Calculator'!$T$24:$AA$24,Q25)=1),HLOOKUP(Q25,'Stats Calculator'!$T$24:$AA$27,4,FALSE),IF(AND(Q25&gt;0,COUNTIF('Stats Calculator'!$T$25:$AA$25,Q25)=1),HLOOKUP(Q25,'Stats Calculator'!$T$25:$AA$27,3,FALSE)))))</f>
        <v>3</v>
      </c>
      <c r="AG25">
        <f>IF(I25="","",COUNTIF(I25,'Stats Calculator'!E$31)+COUNTIF(J25,'Stats Calculator'!E$32)+COUNTIF(K25,'Stats Calculator'!E$33)+COUNTIF(L25,'Stats Calculator'!E$34)+COUNTIF(M25,'Stats Calculator'!E$35)+COUNTIF(N25,'Stats Calculator'!E$36)+COUNTIF(O25,'Stats Calculator'!E$37)+COUNTIF(P25,'Stats Calculator'!E$38)-8+Data!S$3)</f>
        <v>0</v>
      </c>
      <c r="AH25">
        <f>IF(I25="","",IF(Q25="",0,IF(Q25=0,0,IF(VLOOKUP(Engine!AF25,'Stats Calculator'!B$31:E$38,4,FALSE)="",0,IF(VLOOKUP(Engine!AF25,'Stats Calculator'!B$31:E$38,4,FALSE)=Q25,2,-2)))))</f>
        <v>0</v>
      </c>
      <c r="AI25">
        <f>IF(I25="","",Data!S$3-COUNTA('Stats Calculator'!E$31:E$38))</f>
        <v>7</v>
      </c>
      <c r="AJ25">
        <f>IF(I25="","",IF(AF25=0,0,IF(VLOOKUP(AF25,'Stats Calculator'!B$31:E$38,4,FALSE)&gt;0,0,2)))</f>
        <v>2</v>
      </c>
      <c r="AK25">
        <f>IF(I25="","",IF(Data!S$3-Engine!AI25=AG25,2,0))</f>
        <v>0</v>
      </c>
      <c r="AL25">
        <f t="shared" si="14"/>
        <v>9</v>
      </c>
    </row>
    <row r="26" spans="1:38" x14ac:dyDescent="0.35">
      <c r="A26">
        <v>25</v>
      </c>
      <c r="B26">
        <f t="shared" si="0"/>
        <v>49</v>
      </c>
      <c r="C26" s="111">
        <f t="shared" si="8"/>
        <v>21.011300068999997</v>
      </c>
      <c r="D26">
        <f t="shared" si="1"/>
        <v>48</v>
      </c>
      <c r="E26" s="3" t="str">
        <f t="shared" si="9"/>
        <v>p</v>
      </c>
      <c r="F26">
        <f t="shared" si="10"/>
        <v>1</v>
      </c>
      <c r="G26">
        <v>69</v>
      </c>
      <c r="H26" t="str">
        <f>Data!A27</f>
        <v>Lukebrooksbiggestfan</v>
      </c>
      <c r="I26" s="2" t="str">
        <f>Data!C27</f>
        <v>Sea Eagles</v>
      </c>
      <c r="J26" s="2" t="str">
        <f>Data!D27</f>
        <v>Rabbitohs</v>
      </c>
      <c r="K26" s="2" t="str">
        <f>Data!E27</f>
        <v>Storm</v>
      </c>
      <c r="L26" s="2" t="str">
        <f>IF(Data!$S$3&lt;Engine!L$1,0,Data!F27)</f>
        <v>Broncos</v>
      </c>
      <c r="M26" s="2" t="str">
        <f>IF(Data!$S$3&lt;Engine!M$1,0,Data!G27)</f>
        <v>Roosters</v>
      </c>
      <c r="N26" s="2" t="str">
        <f>IF(Data!$S$3&lt;Engine!N$1,0,Data!H27)</f>
        <v>Titans</v>
      </c>
      <c r="O26" s="2" t="str">
        <f>IF(Data!$S$3&lt;Engine!O$1,0,Data!I27)</f>
        <v>Sharks</v>
      </c>
      <c r="P26" s="2" t="str">
        <f>IF(Data!$S$3&lt;Engine!P$1,0,Data!J27)</f>
        <v>Wests Tigers</v>
      </c>
      <c r="Q26" s="11" t="str">
        <f>IF(Data!B27=1,Data!K27,"No Tips")</f>
        <v>Wests Tigers</v>
      </c>
      <c r="R26" s="2">
        <f>Data!L27</f>
        <v>21</v>
      </c>
      <c r="S26" s="2">
        <f>Data!M27</f>
        <v>1130</v>
      </c>
      <c r="T26" s="1">
        <f>IF(I26="","",COUNTIF('Live Ladder'!P:P,I26)+COUNTIF('Live Ladder'!P:P,J26)+COUNTIF('Live Ladder'!P:P,K26)+COUNTIF('Live Ladder'!P:P,L26)+COUNTIF('Live Ladder'!P:P,M26)+COUNTIF('Live Ladder'!P:P,N26)+COUNTIF('Live Ladder'!P:P,O26)+COUNTIF('Live Ladder'!P:P,P26))</f>
        <v>0</v>
      </c>
      <c r="U26" s="1">
        <f>IF(I26="","",IF(COUNTIF('Live Ladder'!P:P,Engine!Q26)=1,2,IF(COUNTIF('Live Ladder'!Q:Q,Engine!Q26)=1,-2,0)))</f>
        <v>0</v>
      </c>
      <c r="V26" s="1">
        <f>IF(I26="","",IF(T26=Data!S$3,2,0))</f>
        <v>0</v>
      </c>
      <c r="W26" s="1">
        <f t="shared" si="11"/>
        <v>0</v>
      </c>
      <c r="X26" s="1">
        <f>IF(I26="",AE$2,IF(I26='Live Ladder'!B$4,'Live Ladder'!C$4,'Live Ladder'!D$4)+IF(J26='Live Ladder'!B$5,'Live Ladder'!C$5,'Live Ladder'!D$5)+IF(K26='Live Ladder'!B$6,'Live Ladder'!C$6,'Live Ladder'!D$6)+IF(L26='Live Ladder'!B$7,'Live Ladder'!C$7,'Live Ladder'!D$7)+IF(M26='Live Ladder'!B$8,'Live Ladder'!C$8,'Live Ladder'!D$8)+IF(N26='Live Ladder'!B$9,'Live Ladder'!C$9,'Live Ladder'!D$9)+IF(O26='Live Ladder'!B$10,'Live Ladder'!C$10,'Live Ladder'!D$10)+IF(P26='Live Ladder'!B$11,'Live Ladder'!C$11,'Live Ladder'!D$11))</f>
        <v>18</v>
      </c>
      <c r="Y26">
        <f t="shared" si="17"/>
        <v>21</v>
      </c>
      <c r="Z26">
        <f t="shared" si="12"/>
        <v>1148</v>
      </c>
      <c r="AA26" s="111">
        <f t="shared" si="13"/>
        <v>21.011480068999997</v>
      </c>
      <c r="AB26">
        <f t="shared" si="16"/>
        <v>0</v>
      </c>
      <c r="AC26">
        <f>IF(I26="","",IF(I26='Live Ladder'!B$4,'Live Ladder'!C$4,'Live Ladder'!D$4)+IF(J26='Live Ladder'!B$5,'Live Ladder'!C$5,'Live Ladder'!D$5)+IF(K26='Live Ladder'!B$6,'Live Ladder'!C$6,'Live Ladder'!D$6)+IF(L26='Live Ladder'!B$7,'Live Ladder'!C$7,'Live Ladder'!D$7)+IF(M26='Live Ladder'!B$8,'Live Ladder'!C$8,'Live Ladder'!D$8)+IF(N26='Live Ladder'!B$9,'Live Ladder'!C$9,'Live Ladder'!D$9)+IF(O26='Live Ladder'!B$10,'Live Ladder'!C$10,'Live Ladder'!D$10)+IF(P26='Live Ladder'!B$11,'Live Ladder'!C$11,'Live Ladder'!D$11))</f>
        <v>18</v>
      </c>
      <c r="AF26">
        <f>IF(I26="","",IF(Q26="",0,IF(AND(Q26&gt;0,COUNTIF('Stats Calculator'!$T$24:$AA$24,Q26)=1),HLOOKUP(Q26,'Stats Calculator'!$T$24:$AA$27,4,FALSE),IF(AND(Q26&gt;0,COUNTIF('Stats Calculator'!$T$25:$AA$25,Q26)=1),HLOOKUP(Q26,'Stats Calculator'!$T$25:$AA$27,3,FALSE)))))</f>
        <v>8</v>
      </c>
      <c r="AG26">
        <f>IF(I26="","",COUNTIF(I26,'Stats Calculator'!E$31)+COUNTIF(J26,'Stats Calculator'!E$32)+COUNTIF(K26,'Stats Calculator'!E$33)+COUNTIF(L26,'Stats Calculator'!E$34)+COUNTIF(M26,'Stats Calculator'!E$35)+COUNTIF(N26,'Stats Calculator'!E$36)+COUNTIF(O26,'Stats Calculator'!E$37)+COUNTIF(P26,'Stats Calculator'!E$38)-8+Data!S$3)</f>
        <v>0</v>
      </c>
      <c r="AH26">
        <f>IF(I26="","",IF(Q26="",0,IF(Q26=0,0,IF(VLOOKUP(Engine!AF26,'Stats Calculator'!B$31:E$38,4,FALSE)="",0,IF(VLOOKUP(Engine!AF26,'Stats Calculator'!B$31:E$38,4,FALSE)=Q26,2,-2)))))</f>
        <v>0</v>
      </c>
      <c r="AI26">
        <f>IF(I26="","",Data!S$3-COUNTA('Stats Calculator'!E$31:E$38))</f>
        <v>7</v>
      </c>
      <c r="AJ26">
        <f>IF(I26="","",IF(AF26=0,0,IF(VLOOKUP(AF26,'Stats Calculator'!B$31:E$38,4,FALSE)&gt;0,0,2)))</f>
        <v>2</v>
      </c>
      <c r="AK26">
        <f>IF(I26="","",IF(Data!S$3-Engine!AI26=AG26,2,0))</f>
        <v>0</v>
      </c>
      <c r="AL26">
        <f t="shared" si="14"/>
        <v>9</v>
      </c>
    </row>
    <row r="27" spans="1:38" x14ac:dyDescent="0.35">
      <c r="A27">
        <v>26</v>
      </c>
      <c r="B27">
        <f t="shared" si="0"/>
        <v>10</v>
      </c>
      <c r="C27" s="111">
        <f t="shared" si="8"/>
        <v>32.012010067999995</v>
      </c>
      <c r="D27">
        <f t="shared" si="1"/>
        <v>10</v>
      </c>
      <c r="E27" s="3" t="str">
        <f t="shared" si="9"/>
        <v>u</v>
      </c>
      <c r="F27" t="str">
        <f t="shared" si="10"/>
        <v/>
      </c>
      <c r="G27">
        <v>68</v>
      </c>
      <c r="H27" t="str">
        <f>Data!A28</f>
        <v>Magnum</v>
      </c>
      <c r="I27" s="2" t="str">
        <f>Data!C28</f>
        <v>Sea Eagles</v>
      </c>
      <c r="J27" s="2" t="str">
        <f>Data!D28</f>
        <v>Bulldogs</v>
      </c>
      <c r="K27" s="2" t="str">
        <f>Data!E28</f>
        <v>Storm</v>
      </c>
      <c r="L27" s="2" t="str">
        <f>IF(Data!$S$3&lt;Engine!L$1,0,Data!F28)</f>
        <v>Broncos</v>
      </c>
      <c r="M27" s="2" t="str">
        <f>IF(Data!$S$3&lt;Engine!M$1,0,Data!G28)</f>
        <v>Panthers</v>
      </c>
      <c r="N27" s="2" t="str">
        <f>IF(Data!$S$3&lt;Engine!N$1,0,Data!H28)</f>
        <v>Raiders</v>
      </c>
      <c r="O27" s="2" t="str">
        <f>IF(Data!$S$3&lt;Engine!O$1,0,Data!I28)</f>
        <v>Sharks</v>
      </c>
      <c r="P27" s="2" t="str">
        <f>IF(Data!$S$3&lt;Engine!P$1,0,Data!J28)</f>
        <v>Eels</v>
      </c>
      <c r="Q27" s="11" t="str">
        <f>IF(Data!B28=1,Data!K28,"No Tips")</f>
        <v>Storm</v>
      </c>
      <c r="R27" s="2">
        <f>Data!L28</f>
        <v>32</v>
      </c>
      <c r="S27" s="2">
        <f>Data!M28</f>
        <v>1201</v>
      </c>
      <c r="T27" s="1">
        <f>IF(I27="","",COUNTIF('Live Ladder'!P:P,I27)+COUNTIF('Live Ladder'!P:P,J27)+COUNTIF('Live Ladder'!P:P,K27)+COUNTIF('Live Ladder'!P:P,L27)+COUNTIF('Live Ladder'!P:P,M27)+COUNTIF('Live Ladder'!P:P,N27)+COUNTIF('Live Ladder'!P:P,O27)+COUNTIF('Live Ladder'!P:P,P27))</f>
        <v>0</v>
      </c>
      <c r="U27" s="1">
        <f>IF(I27="","",IF(COUNTIF('Live Ladder'!P:P,Engine!Q27)=1,2,IF(COUNTIF('Live Ladder'!Q:Q,Engine!Q27)=1,-2,0)))</f>
        <v>0</v>
      </c>
      <c r="V27" s="1">
        <f>IF(I27="","",IF(T27=Data!S$3,2,0))</f>
        <v>0</v>
      </c>
      <c r="W27" s="1">
        <f t="shared" si="11"/>
        <v>0</v>
      </c>
      <c r="X27" s="1">
        <f>IF(I27="",AE$2,IF(I27='Live Ladder'!B$4,'Live Ladder'!C$4,'Live Ladder'!D$4)+IF(J27='Live Ladder'!B$5,'Live Ladder'!C$5,'Live Ladder'!D$5)+IF(K27='Live Ladder'!B$6,'Live Ladder'!C$6,'Live Ladder'!D$6)+IF(L27='Live Ladder'!B$7,'Live Ladder'!C$7,'Live Ladder'!D$7)+IF(M27='Live Ladder'!B$8,'Live Ladder'!C$8,'Live Ladder'!D$8)+IF(N27='Live Ladder'!B$9,'Live Ladder'!C$9,'Live Ladder'!D$9)+IF(O27='Live Ladder'!B$10,'Live Ladder'!C$10,'Live Ladder'!D$10)+IF(P27='Live Ladder'!B$11,'Live Ladder'!C$11,'Live Ladder'!D$11))</f>
        <v>18</v>
      </c>
      <c r="Y27">
        <f t="shared" si="17"/>
        <v>32</v>
      </c>
      <c r="Z27">
        <f t="shared" si="12"/>
        <v>1219</v>
      </c>
      <c r="AA27" s="111">
        <f t="shared" si="13"/>
        <v>32.012190067999995</v>
      </c>
      <c r="AB27">
        <f t="shared" si="16"/>
        <v>0</v>
      </c>
      <c r="AC27">
        <f>IF(I27="","",IF(I27='Live Ladder'!B$4,'Live Ladder'!C$4,'Live Ladder'!D$4)+IF(J27='Live Ladder'!B$5,'Live Ladder'!C$5,'Live Ladder'!D$5)+IF(K27='Live Ladder'!B$6,'Live Ladder'!C$6,'Live Ladder'!D$6)+IF(L27='Live Ladder'!B$7,'Live Ladder'!C$7,'Live Ladder'!D$7)+IF(M27='Live Ladder'!B$8,'Live Ladder'!C$8,'Live Ladder'!D$8)+IF(N27='Live Ladder'!B$9,'Live Ladder'!C$9,'Live Ladder'!D$9)+IF(O27='Live Ladder'!B$10,'Live Ladder'!C$10,'Live Ladder'!D$10)+IF(P27='Live Ladder'!B$11,'Live Ladder'!C$11,'Live Ladder'!D$11))</f>
        <v>18</v>
      </c>
      <c r="AF27">
        <f>IF(I27="","",IF(Q27="",0,IF(AND(Q27&gt;0,COUNTIF('Stats Calculator'!$T$24:$AA$24,Q27)=1),HLOOKUP(Q27,'Stats Calculator'!$T$24:$AA$27,4,FALSE),IF(AND(Q27&gt;0,COUNTIF('Stats Calculator'!$T$25:$AA$25,Q27)=1),HLOOKUP(Q27,'Stats Calculator'!$T$25:$AA$27,3,FALSE)))))</f>
        <v>3</v>
      </c>
      <c r="AG27">
        <f>IF(I27="","",COUNTIF(I27,'Stats Calculator'!E$31)+COUNTIF(J27,'Stats Calculator'!E$32)+COUNTIF(K27,'Stats Calculator'!E$33)+COUNTIF(L27,'Stats Calculator'!E$34)+COUNTIF(M27,'Stats Calculator'!E$35)+COUNTIF(N27,'Stats Calculator'!E$36)+COUNTIF(O27,'Stats Calculator'!E$37)+COUNTIF(P27,'Stats Calculator'!E$38)-8+Data!S$3)</f>
        <v>0</v>
      </c>
      <c r="AH27">
        <f>IF(I27="","",IF(Q27="",0,IF(Q27=0,0,IF(VLOOKUP(Engine!AF27,'Stats Calculator'!B$31:E$38,4,FALSE)="",0,IF(VLOOKUP(Engine!AF27,'Stats Calculator'!B$31:E$38,4,FALSE)=Q27,2,-2)))))</f>
        <v>0</v>
      </c>
      <c r="AI27">
        <f>IF(I27="","",Data!S$3-COUNTA('Stats Calculator'!E$31:E$38))</f>
        <v>7</v>
      </c>
      <c r="AJ27">
        <f>IF(I27="","",IF(AF27=0,0,IF(VLOOKUP(AF27,'Stats Calculator'!B$31:E$38,4,FALSE)&gt;0,0,2)))</f>
        <v>2</v>
      </c>
      <c r="AK27">
        <f>IF(I27="","",IF(Data!S$3-Engine!AI27=AG27,2,0))</f>
        <v>0</v>
      </c>
      <c r="AL27">
        <f t="shared" si="14"/>
        <v>9</v>
      </c>
    </row>
    <row r="28" spans="1:38" x14ac:dyDescent="0.35">
      <c r="A28">
        <v>27</v>
      </c>
      <c r="B28">
        <f t="shared" si="0"/>
        <v>48</v>
      </c>
      <c r="C28" s="111">
        <f t="shared" si="8"/>
        <v>22.011050066999999</v>
      </c>
      <c r="D28">
        <f t="shared" si="1"/>
        <v>47</v>
      </c>
      <c r="E28" s="3" t="str">
        <f t="shared" si="9"/>
        <v>p</v>
      </c>
      <c r="F28">
        <f t="shared" si="10"/>
        <v>1</v>
      </c>
      <c r="G28">
        <v>67</v>
      </c>
      <c r="H28" t="str">
        <f>Data!A29</f>
        <v>Matt Brownie</v>
      </c>
      <c r="I28" s="2" t="str">
        <f>Data!C29</f>
        <v>Sea Eagles</v>
      </c>
      <c r="J28" s="2" t="str">
        <f>Data!D29</f>
        <v>Bulldogs</v>
      </c>
      <c r="K28" s="2" t="str">
        <f>Data!E29</f>
        <v>Storm</v>
      </c>
      <c r="L28" s="2" t="str">
        <f>IF(Data!$S$3&lt;Engine!L$1,0,Data!F29)</f>
        <v>Broncos</v>
      </c>
      <c r="M28" s="2" t="str">
        <f>IF(Data!$S$3&lt;Engine!M$1,0,Data!G29)</f>
        <v>Panthers</v>
      </c>
      <c r="N28" s="2" t="str">
        <f>IF(Data!$S$3&lt;Engine!N$1,0,Data!H29)</f>
        <v>Titans</v>
      </c>
      <c r="O28" s="2" t="str">
        <f>IF(Data!$S$3&lt;Engine!O$1,0,Data!I29)</f>
        <v>Sharks</v>
      </c>
      <c r="P28" s="2" t="str">
        <f>IF(Data!$S$3&lt;Engine!P$1,0,Data!J29)</f>
        <v>Wests Tigers</v>
      </c>
      <c r="Q28" s="11" t="str">
        <f>IF(Data!B29=1,Data!K29,"No Tips")</f>
        <v>Bulldogs</v>
      </c>
      <c r="R28" s="2">
        <f>Data!L29</f>
        <v>22</v>
      </c>
      <c r="S28" s="2">
        <f>Data!M29</f>
        <v>1105</v>
      </c>
      <c r="T28" s="1">
        <f>IF(I28="","",COUNTIF('Live Ladder'!P:P,I28)+COUNTIF('Live Ladder'!P:P,J28)+COUNTIF('Live Ladder'!P:P,K28)+COUNTIF('Live Ladder'!P:P,L28)+COUNTIF('Live Ladder'!P:P,M28)+COUNTIF('Live Ladder'!P:P,N28)+COUNTIF('Live Ladder'!P:P,O28)+COUNTIF('Live Ladder'!P:P,P28))</f>
        <v>0</v>
      </c>
      <c r="U28" s="1">
        <f>IF(I28="","",IF(COUNTIF('Live Ladder'!P:P,Engine!Q28)=1,2,IF(COUNTIF('Live Ladder'!Q:Q,Engine!Q28)=1,-2,0)))</f>
        <v>0</v>
      </c>
      <c r="V28" s="1">
        <f>IF(I28="","",IF(T28=Data!S$3,2,0))</f>
        <v>0</v>
      </c>
      <c r="W28" s="1">
        <f t="shared" si="11"/>
        <v>0</v>
      </c>
      <c r="X28" s="1">
        <f>IF(I28="",AE$2,IF(I28='Live Ladder'!B$4,'Live Ladder'!C$4,'Live Ladder'!D$4)+IF(J28='Live Ladder'!B$5,'Live Ladder'!C$5,'Live Ladder'!D$5)+IF(K28='Live Ladder'!B$6,'Live Ladder'!C$6,'Live Ladder'!D$6)+IF(L28='Live Ladder'!B$7,'Live Ladder'!C$7,'Live Ladder'!D$7)+IF(M28='Live Ladder'!B$8,'Live Ladder'!C$8,'Live Ladder'!D$8)+IF(N28='Live Ladder'!B$9,'Live Ladder'!C$9,'Live Ladder'!D$9)+IF(O28='Live Ladder'!B$10,'Live Ladder'!C$10,'Live Ladder'!D$10)+IF(P28='Live Ladder'!B$11,'Live Ladder'!C$11,'Live Ladder'!D$11))</f>
        <v>18</v>
      </c>
      <c r="Y28">
        <f t="shared" si="17"/>
        <v>22</v>
      </c>
      <c r="Z28">
        <f t="shared" si="12"/>
        <v>1123</v>
      </c>
      <c r="AA28" s="111">
        <f t="shared" si="13"/>
        <v>22.011230067</v>
      </c>
      <c r="AB28">
        <f t="shared" si="16"/>
        <v>0</v>
      </c>
      <c r="AC28">
        <f>IF(I28="","",IF(I28='Live Ladder'!B$4,'Live Ladder'!C$4,'Live Ladder'!D$4)+IF(J28='Live Ladder'!B$5,'Live Ladder'!C$5,'Live Ladder'!D$5)+IF(K28='Live Ladder'!B$6,'Live Ladder'!C$6,'Live Ladder'!D$6)+IF(L28='Live Ladder'!B$7,'Live Ladder'!C$7,'Live Ladder'!D$7)+IF(M28='Live Ladder'!B$8,'Live Ladder'!C$8,'Live Ladder'!D$8)+IF(N28='Live Ladder'!B$9,'Live Ladder'!C$9,'Live Ladder'!D$9)+IF(O28='Live Ladder'!B$10,'Live Ladder'!C$10,'Live Ladder'!D$10)+IF(P28='Live Ladder'!B$11,'Live Ladder'!C$11,'Live Ladder'!D$11))</f>
        <v>18</v>
      </c>
      <c r="AF28">
        <f>IF(I28="","",IF(Q28="",0,IF(AND(Q28&gt;0,COUNTIF('Stats Calculator'!$T$24:$AA$24,Q28)=1),HLOOKUP(Q28,'Stats Calculator'!$T$24:$AA$27,4,FALSE),IF(AND(Q28&gt;0,COUNTIF('Stats Calculator'!$T$25:$AA$25,Q28)=1),HLOOKUP(Q28,'Stats Calculator'!$T$25:$AA$27,3,FALSE)))))</f>
        <v>2</v>
      </c>
      <c r="AG28">
        <f>IF(I28="","",COUNTIF(I28,'Stats Calculator'!E$31)+COUNTIF(J28,'Stats Calculator'!E$32)+COUNTIF(K28,'Stats Calculator'!E$33)+COUNTIF(L28,'Stats Calculator'!E$34)+COUNTIF(M28,'Stats Calculator'!E$35)+COUNTIF(N28,'Stats Calculator'!E$36)+COUNTIF(O28,'Stats Calculator'!E$37)+COUNTIF(P28,'Stats Calculator'!E$38)-8+Data!S$3)</f>
        <v>0</v>
      </c>
      <c r="AH28">
        <f>IF(I28="","",IF(Q28="",0,IF(Q28=0,0,IF(VLOOKUP(Engine!AF28,'Stats Calculator'!B$31:E$38,4,FALSE)="",0,IF(VLOOKUP(Engine!AF28,'Stats Calculator'!B$31:E$38,4,FALSE)=Q28,2,-2)))))</f>
        <v>0</v>
      </c>
      <c r="AI28">
        <f>IF(I28="","",Data!S$3-COUNTA('Stats Calculator'!E$31:E$38))</f>
        <v>7</v>
      </c>
      <c r="AJ28">
        <f>IF(I28="","",IF(AF28=0,0,IF(VLOOKUP(AF28,'Stats Calculator'!B$31:E$38,4,FALSE)&gt;0,0,2)))</f>
        <v>2</v>
      </c>
      <c r="AK28">
        <f>IF(I28="","",IF(Data!S$3-Engine!AI28=AG28,2,0))</f>
        <v>0</v>
      </c>
      <c r="AL28">
        <f t="shared" si="14"/>
        <v>9</v>
      </c>
    </row>
    <row r="29" spans="1:38" x14ac:dyDescent="0.35">
      <c r="A29">
        <v>28</v>
      </c>
      <c r="B29">
        <f t="shared" si="0"/>
        <v>2</v>
      </c>
      <c r="C29" s="111">
        <f t="shared" si="8"/>
        <v>38.012470065999999</v>
      </c>
      <c r="D29">
        <f t="shared" si="1"/>
        <v>2</v>
      </c>
      <c r="E29" s="3" t="str">
        <f t="shared" si="9"/>
        <v>u</v>
      </c>
      <c r="F29" t="str">
        <f t="shared" si="10"/>
        <v/>
      </c>
      <c r="G29">
        <v>66</v>
      </c>
      <c r="H29" t="str">
        <f>Data!A30</f>
        <v>MB</v>
      </c>
      <c r="I29" s="2" t="str">
        <f>Data!C30</f>
        <v>Sea Eagles</v>
      </c>
      <c r="J29" s="2" t="str">
        <f>Data!D30</f>
        <v>Bulldogs</v>
      </c>
      <c r="K29" s="2" t="str">
        <f>Data!E30</f>
        <v>Storm</v>
      </c>
      <c r="L29" s="2" t="str">
        <f>IF(Data!$S$3&lt;Engine!L$1,0,Data!F30)</f>
        <v>Broncos</v>
      </c>
      <c r="M29" s="2" t="str">
        <f>IF(Data!$S$3&lt;Engine!M$1,0,Data!G30)</f>
        <v>Roosters</v>
      </c>
      <c r="N29" s="2" t="str">
        <f>IF(Data!$S$3&lt;Engine!N$1,0,Data!H30)</f>
        <v>Raiders</v>
      </c>
      <c r="O29" s="2" t="str">
        <f>IF(Data!$S$3&lt;Engine!O$1,0,Data!I30)</f>
        <v>Sharks</v>
      </c>
      <c r="P29" s="2" t="str">
        <f>IF(Data!$S$3&lt;Engine!P$1,0,Data!J30)</f>
        <v>Wests Tigers</v>
      </c>
      <c r="Q29" s="11" t="str">
        <f>IF(Data!B30=1,Data!K30,"No Tips")</f>
        <v>Broncos</v>
      </c>
      <c r="R29" s="2">
        <f>Data!L30</f>
        <v>38</v>
      </c>
      <c r="S29" s="2">
        <f>Data!M30</f>
        <v>1247</v>
      </c>
      <c r="T29" s="1">
        <f>IF(I29="","",COUNTIF('Live Ladder'!P:P,I29)+COUNTIF('Live Ladder'!P:P,J29)+COUNTIF('Live Ladder'!P:P,K29)+COUNTIF('Live Ladder'!P:P,L29)+COUNTIF('Live Ladder'!P:P,M29)+COUNTIF('Live Ladder'!P:P,N29)+COUNTIF('Live Ladder'!P:P,O29)+COUNTIF('Live Ladder'!P:P,P29))</f>
        <v>0</v>
      </c>
      <c r="U29" s="1">
        <f>IF(I29="","",IF(COUNTIF('Live Ladder'!P:P,Engine!Q29)=1,2,IF(COUNTIF('Live Ladder'!Q:Q,Engine!Q29)=1,-2,0)))</f>
        <v>0</v>
      </c>
      <c r="V29" s="1">
        <f>IF(I29="","",IF(T29=Data!S$3,2,0))</f>
        <v>0</v>
      </c>
      <c r="W29" s="1">
        <f t="shared" si="11"/>
        <v>0</v>
      </c>
      <c r="X29" s="1">
        <f>IF(I29="",AE$2,IF(I29='Live Ladder'!B$4,'Live Ladder'!C$4,'Live Ladder'!D$4)+IF(J29='Live Ladder'!B$5,'Live Ladder'!C$5,'Live Ladder'!D$5)+IF(K29='Live Ladder'!B$6,'Live Ladder'!C$6,'Live Ladder'!D$6)+IF(L29='Live Ladder'!B$7,'Live Ladder'!C$7,'Live Ladder'!D$7)+IF(M29='Live Ladder'!B$8,'Live Ladder'!C$8,'Live Ladder'!D$8)+IF(N29='Live Ladder'!B$9,'Live Ladder'!C$9,'Live Ladder'!D$9)+IF(O29='Live Ladder'!B$10,'Live Ladder'!C$10,'Live Ladder'!D$10)+IF(P29='Live Ladder'!B$11,'Live Ladder'!C$11,'Live Ladder'!D$11))</f>
        <v>18</v>
      </c>
      <c r="Y29">
        <f t="shared" si="17"/>
        <v>38</v>
      </c>
      <c r="Z29">
        <f t="shared" si="12"/>
        <v>1265</v>
      </c>
      <c r="AA29" s="111">
        <f t="shared" si="13"/>
        <v>38.012650065999999</v>
      </c>
      <c r="AB29">
        <f t="shared" si="16"/>
        <v>0</v>
      </c>
      <c r="AC29">
        <f>IF(I29="","",IF(I29='Live Ladder'!B$4,'Live Ladder'!C$4,'Live Ladder'!D$4)+IF(J29='Live Ladder'!B$5,'Live Ladder'!C$5,'Live Ladder'!D$5)+IF(K29='Live Ladder'!B$6,'Live Ladder'!C$6,'Live Ladder'!D$6)+IF(L29='Live Ladder'!B$7,'Live Ladder'!C$7,'Live Ladder'!D$7)+IF(M29='Live Ladder'!B$8,'Live Ladder'!C$8,'Live Ladder'!D$8)+IF(N29='Live Ladder'!B$9,'Live Ladder'!C$9,'Live Ladder'!D$9)+IF(O29='Live Ladder'!B$10,'Live Ladder'!C$10,'Live Ladder'!D$10)+IF(P29='Live Ladder'!B$11,'Live Ladder'!C$11,'Live Ladder'!D$11))</f>
        <v>18</v>
      </c>
      <c r="AF29">
        <f>IF(I29="","",IF(Q29="",0,IF(AND(Q29&gt;0,COUNTIF('Stats Calculator'!$T$24:$AA$24,Q29)=1),HLOOKUP(Q29,'Stats Calculator'!$T$24:$AA$27,4,FALSE),IF(AND(Q29&gt;0,COUNTIF('Stats Calculator'!$T$25:$AA$25,Q29)=1),HLOOKUP(Q29,'Stats Calculator'!$T$25:$AA$27,3,FALSE)))))</f>
        <v>4</v>
      </c>
      <c r="AG29">
        <f>IF(I29="","",COUNTIF(I29,'Stats Calculator'!E$31)+COUNTIF(J29,'Stats Calculator'!E$32)+COUNTIF(K29,'Stats Calculator'!E$33)+COUNTIF(L29,'Stats Calculator'!E$34)+COUNTIF(M29,'Stats Calculator'!E$35)+COUNTIF(N29,'Stats Calculator'!E$36)+COUNTIF(O29,'Stats Calculator'!E$37)+COUNTIF(P29,'Stats Calculator'!E$38)-8+Data!S$3)</f>
        <v>0</v>
      </c>
      <c r="AH29">
        <f>IF(I29="","",IF(Q29="",0,IF(Q29=0,0,IF(VLOOKUP(Engine!AF29,'Stats Calculator'!B$31:E$38,4,FALSE)="",0,IF(VLOOKUP(Engine!AF29,'Stats Calculator'!B$31:E$38,4,FALSE)=Q29,2,-2)))))</f>
        <v>0</v>
      </c>
      <c r="AI29">
        <f>IF(I29="","",Data!S$3-COUNTA('Stats Calculator'!E$31:E$38))</f>
        <v>7</v>
      </c>
      <c r="AJ29">
        <f>IF(I29="","",IF(AF29=0,0,IF(VLOOKUP(AF29,'Stats Calculator'!B$31:E$38,4,FALSE)&gt;0,0,2)))</f>
        <v>2</v>
      </c>
      <c r="AK29">
        <f>IF(I29="","",IF(Data!S$3-Engine!AI29=AG29,2,0))</f>
        <v>0</v>
      </c>
      <c r="AL29">
        <f t="shared" si="14"/>
        <v>9</v>
      </c>
    </row>
    <row r="30" spans="1:38" x14ac:dyDescent="0.35">
      <c r="A30">
        <v>29</v>
      </c>
      <c r="B30">
        <f t="shared" si="0"/>
        <v>45</v>
      </c>
      <c r="C30" s="111">
        <f t="shared" si="8"/>
        <v>23.010850065</v>
      </c>
      <c r="D30">
        <f t="shared" si="1"/>
        <v>50</v>
      </c>
      <c r="E30" s="3" t="str">
        <f t="shared" si="9"/>
        <v>q</v>
      </c>
      <c r="F30">
        <f t="shared" si="10"/>
        <v>5</v>
      </c>
      <c r="G30">
        <v>65</v>
      </c>
      <c r="H30" t="str">
        <f>Data!A31</f>
        <v>Michael Wu</v>
      </c>
      <c r="I30" s="2" t="str">
        <f>Data!C31</f>
        <v/>
      </c>
      <c r="J30" s="2" t="str">
        <f>Data!D31</f>
        <v/>
      </c>
      <c r="K30" s="2" t="str">
        <f>Data!E31</f>
        <v/>
      </c>
      <c r="L30" s="2" t="str">
        <f>IF(Data!$S$3&lt;Engine!L$1,0,Data!F31)</f>
        <v/>
      </c>
      <c r="M30" s="2" t="str">
        <f>IF(Data!$S$3&lt;Engine!M$1,0,Data!G31)</f>
        <v/>
      </c>
      <c r="N30" s="2" t="str">
        <f>IF(Data!$S$3&lt;Engine!N$1,0,Data!H31)</f>
        <v/>
      </c>
      <c r="O30" s="2" t="str">
        <f>IF(Data!$S$3&lt;Engine!O$1,0,Data!I31)</f>
        <v/>
      </c>
      <c r="P30" s="2" t="str">
        <f>IF(Data!$S$3&lt;Engine!P$1,0,Data!J31)</f>
        <v/>
      </c>
      <c r="Q30" s="11" t="str">
        <f>IF(Data!B31=1,Data!K31,"No Tips")</f>
        <v>No Tips</v>
      </c>
      <c r="R30" s="2">
        <f>Data!L31</f>
        <v>23</v>
      </c>
      <c r="S30" s="2">
        <f>Data!M31</f>
        <v>1085</v>
      </c>
      <c r="T30" s="1" t="str">
        <f>IF(I30="","",COUNTIF('Live Ladder'!P:P,I30)+COUNTIF('Live Ladder'!P:P,J30)+COUNTIF('Live Ladder'!P:P,K30)+COUNTIF('Live Ladder'!P:P,L30)+COUNTIF('Live Ladder'!P:P,M30)+COUNTIF('Live Ladder'!P:P,N30)+COUNTIF('Live Ladder'!P:P,O30)+COUNTIF('Live Ladder'!P:P,P30))</f>
        <v/>
      </c>
      <c r="U30" s="1" t="str">
        <f>IF(I30="","",IF(COUNTIF('Live Ladder'!P:P,Engine!Q30)=1,2,IF(COUNTIF('Live Ladder'!Q:Q,Engine!Q30)=1,-2,0)))</f>
        <v/>
      </c>
      <c r="V30" s="1" t="str">
        <f>IF(I30="","",IF(T30=Data!S$3,2,0))</f>
        <v/>
      </c>
      <c r="W30" s="1">
        <f t="shared" si="11"/>
        <v>-2</v>
      </c>
      <c r="X30" s="1">
        <f>IF(I30="",AE$2,IF(I30='Live Ladder'!B$4,'Live Ladder'!C$4,'Live Ladder'!D$4)+IF(J30='Live Ladder'!B$5,'Live Ladder'!C$5,'Live Ladder'!D$5)+IF(K30='Live Ladder'!B$6,'Live Ladder'!C$6,'Live Ladder'!D$6)+IF(L30='Live Ladder'!B$7,'Live Ladder'!C$7,'Live Ladder'!D$7)+IF(M30='Live Ladder'!B$8,'Live Ladder'!C$8,'Live Ladder'!D$8)+IF(N30='Live Ladder'!B$9,'Live Ladder'!C$9,'Live Ladder'!D$9)+IF(O30='Live Ladder'!B$10,'Live Ladder'!C$10,'Live Ladder'!D$10)+IF(P30='Live Ladder'!B$11,'Live Ladder'!C$11,'Live Ladder'!D$11))</f>
        <v>18</v>
      </c>
      <c r="Y30">
        <f t="shared" si="17"/>
        <v>21</v>
      </c>
      <c r="Z30">
        <f t="shared" si="12"/>
        <v>1103</v>
      </c>
      <c r="AA30" s="111">
        <f t="shared" si="13"/>
        <v>21.011030065</v>
      </c>
      <c r="AB30">
        <f t="shared" si="16"/>
        <v>0</v>
      </c>
      <c r="AC30" t="str">
        <f>IF(I30="","",IF(I30='Live Ladder'!B$4,'Live Ladder'!C$4,'Live Ladder'!D$4)+IF(J30='Live Ladder'!B$5,'Live Ladder'!C$5,'Live Ladder'!D$5)+IF(K30='Live Ladder'!B$6,'Live Ladder'!C$6,'Live Ladder'!D$6)+IF(L30='Live Ladder'!B$7,'Live Ladder'!C$7,'Live Ladder'!D$7)+IF(M30='Live Ladder'!B$8,'Live Ladder'!C$8,'Live Ladder'!D$8)+IF(N30='Live Ladder'!B$9,'Live Ladder'!C$9,'Live Ladder'!D$9)+IF(O30='Live Ladder'!B$10,'Live Ladder'!C$10,'Live Ladder'!D$10)+IF(P30='Live Ladder'!B$11,'Live Ladder'!C$11,'Live Ladder'!D$11))</f>
        <v/>
      </c>
      <c r="AF30" t="str">
        <f>IF(I30="","",IF(Q30="",0,IF(AND(Q30&gt;0,COUNTIF('Stats Calculator'!$T$24:$AA$24,Q30)=1),HLOOKUP(Q30,'Stats Calculator'!$T$24:$AA$27,4,FALSE),IF(AND(Q30&gt;0,COUNTIF('Stats Calculator'!$T$25:$AA$25,Q30)=1),HLOOKUP(Q30,'Stats Calculator'!$T$25:$AA$27,3,FALSE)))))</f>
        <v/>
      </c>
      <c r="AG30" t="str">
        <f>IF(I30="","",COUNTIF(I30,'Stats Calculator'!E$31)+COUNTIF(J30,'Stats Calculator'!E$32)+COUNTIF(K30,'Stats Calculator'!E$33)+COUNTIF(L30,'Stats Calculator'!E$34)+COUNTIF(M30,'Stats Calculator'!E$35)+COUNTIF(N30,'Stats Calculator'!E$36)+COUNTIF(O30,'Stats Calculator'!E$37)+COUNTIF(P30,'Stats Calculator'!E$38)-8+Data!S$3)</f>
        <v/>
      </c>
      <c r="AH30" t="str">
        <f>IF(I30="","",IF(Q30="",0,IF(Q30=0,0,IF(VLOOKUP(Engine!AF30,'Stats Calculator'!B$31:E$38,4,FALSE)="",0,IF(VLOOKUP(Engine!AF30,'Stats Calculator'!B$31:E$38,4,FALSE)=Q30,2,-2)))))</f>
        <v/>
      </c>
      <c r="AI30" t="str">
        <f>IF(I30="","",Data!S$3-COUNTA('Stats Calculator'!E$31:E$38))</f>
        <v/>
      </c>
      <c r="AJ30" t="str">
        <f>IF(I30="","",IF(AF30=0,0,IF(VLOOKUP(AF30,'Stats Calculator'!B$31:E$38,4,FALSE)&gt;0,0,2)))</f>
        <v/>
      </c>
      <c r="AK30" t="str">
        <f>IF(I30="","",IF(Data!S$3-Engine!AI30=AG30,2,0))</f>
        <v/>
      </c>
      <c r="AL30" t="str">
        <f t="shared" si="14"/>
        <v/>
      </c>
    </row>
    <row r="31" spans="1:38" s="10" customFormat="1" x14ac:dyDescent="0.35">
      <c r="A31">
        <v>30</v>
      </c>
      <c r="B31">
        <f t="shared" si="0"/>
        <v>31</v>
      </c>
      <c r="C31" s="111">
        <f t="shared" si="8"/>
        <v>28.010870064000002</v>
      </c>
      <c r="D31">
        <f t="shared" si="1"/>
        <v>31</v>
      </c>
      <c r="E31" s="3" t="str">
        <f t="shared" si="9"/>
        <v>u</v>
      </c>
      <c r="F31" t="str">
        <f t="shared" si="10"/>
        <v/>
      </c>
      <c r="G31">
        <v>64</v>
      </c>
      <c r="H31" t="str">
        <f>Data!A32</f>
        <v>Micrider</v>
      </c>
      <c r="I31" s="2" t="str">
        <f>Data!C32</f>
        <v>Sea Eagles</v>
      </c>
      <c r="J31" s="2" t="str">
        <f>Data!D32</f>
        <v>Bulldogs</v>
      </c>
      <c r="K31" s="2" t="str">
        <f>Data!E32</f>
        <v>Storm</v>
      </c>
      <c r="L31" s="2" t="str">
        <f>IF(Data!$S$3&lt;Engine!L$1,0,Data!F32)</f>
        <v>Broncos</v>
      </c>
      <c r="M31" s="2" t="str">
        <f>IF(Data!$S$3&lt;Engine!M$1,0,Data!G32)</f>
        <v>Roosters</v>
      </c>
      <c r="N31" s="2" t="str">
        <f>IF(Data!$S$3&lt;Engine!N$1,0,Data!H32)</f>
        <v>Raiders</v>
      </c>
      <c r="O31" s="2" t="str">
        <f>IF(Data!$S$3&lt;Engine!O$1,0,Data!I32)</f>
        <v>Sharks</v>
      </c>
      <c r="P31" s="2" t="str">
        <f>IF(Data!$S$3&lt;Engine!P$1,0,Data!J32)</f>
        <v>Eels</v>
      </c>
      <c r="Q31" s="11" t="str">
        <f>IF(Data!B32=1,Data!K32,"No Tips")</f>
        <v>Storm</v>
      </c>
      <c r="R31" s="2">
        <f>Data!L32</f>
        <v>28</v>
      </c>
      <c r="S31" s="2">
        <f>Data!M32</f>
        <v>1087</v>
      </c>
      <c r="T31" s="1">
        <f>IF(I31="","",COUNTIF('Live Ladder'!P:P,I31)+COUNTIF('Live Ladder'!P:P,J31)+COUNTIF('Live Ladder'!P:P,K31)+COUNTIF('Live Ladder'!P:P,L31)+COUNTIF('Live Ladder'!P:P,M31)+COUNTIF('Live Ladder'!P:P,N31)+COUNTIF('Live Ladder'!P:P,O31)+COUNTIF('Live Ladder'!P:P,P31))</f>
        <v>0</v>
      </c>
      <c r="U31" s="1">
        <f>IF(I31="","",IF(COUNTIF('Live Ladder'!P:P,Engine!Q31)=1,2,IF(COUNTIF('Live Ladder'!Q:Q,Engine!Q31)=1,-2,0)))</f>
        <v>0</v>
      </c>
      <c r="V31" s="1">
        <f>IF(I31="","",IF(T31=Data!S$3,2,0))</f>
        <v>0</v>
      </c>
      <c r="W31" s="1">
        <f t="shared" si="11"/>
        <v>0</v>
      </c>
      <c r="X31" s="1">
        <f>IF(I31="",AE$2,IF(I31='Live Ladder'!B$4,'Live Ladder'!C$4,'Live Ladder'!D$4)+IF(J31='Live Ladder'!B$5,'Live Ladder'!C$5,'Live Ladder'!D$5)+IF(K31='Live Ladder'!B$6,'Live Ladder'!C$6,'Live Ladder'!D$6)+IF(L31='Live Ladder'!B$7,'Live Ladder'!C$7,'Live Ladder'!D$7)+IF(M31='Live Ladder'!B$8,'Live Ladder'!C$8,'Live Ladder'!D$8)+IF(N31='Live Ladder'!B$9,'Live Ladder'!C$9,'Live Ladder'!D$9)+IF(O31='Live Ladder'!B$10,'Live Ladder'!C$10,'Live Ladder'!D$10)+IF(P31='Live Ladder'!B$11,'Live Ladder'!C$11,'Live Ladder'!D$11))</f>
        <v>18</v>
      </c>
      <c r="Y31">
        <f t="shared" si="17"/>
        <v>28</v>
      </c>
      <c r="Z31">
        <f t="shared" si="12"/>
        <v>1105</v>
      </c>
      <c r="AA31" s="111">
        <f t="shared" si="13"/>
        <v>28.011050064000003</v>
      </c>
      <c r="AB31">
        <f t="shared" si="16"/>
        <v>0</v>
      </c>
      <c r="AC31">
        <f>IF(I31="","",IF(I31='Live Ladder'!B$4,'Live Ladder'!C$4,'Live Ladder'!D$4)+IF(J31='Live Ladder'!B$5,'Live Ladder'!C$5,'Live Ladder'!D$5)+IF(K31='Live Ladder'!B$6,'Live Ladder'!C$6,'Live Ladder'!D$6)+IF(L31='Live Ladder'!B$7,'Live Ladder'!C$7,'Live Ladder'!D$7)+IF(M31='Live Ladder'!B$8,'Live Ladder'!C$8,'Live Ladder'!D$8)+IF(N31='Live Ladder'!B$9,'Live Ladder'!C$9,'Live Ladder'!D$9)+IF(O31='Live Ladder'!B$10,'Live Ladder'!C$10,'Live Ladder'!D$10)+IF(P31='Live Ladder'!B$11,'Live Ladder'!C$11,'Live Ladder'!D$11))</f>
        <v>18</v>
      </c>
      <c r="AD31"/>
      <c r="AE31"/>
      <c r="AF31">
        <f>IF(I31="","",IF(Q31="",0,IF(AND(Q31&gt;0,COUNTIF('Stats Calculator'!$T$24:$AA$24,Q31)=1),HLOOKUP(Q31,'Stats Calculator'!$T$24:$AA$27,4,FALSE),IF(AND(Q31&gt;0,COUNTIF('Stats Calculator'!$T$25:$AA$25,Q31)=1),HLOOKUP(Q31,'Stats Calculator'!$T$25:$AA$27,3,FALSE)))))</f>
        <v>3</v>
      </c>
      <c r="AG31">
        <f>IF(I31="","",COUNTIF(I31,'Stats Calculator'!E$31)+COUNTIF(J31,'Stats Calculator'!E$32)+COUNTIF(K31,'Stats Calculator'!E$33)+COUNTIF(L31,'Stats Calculator'!E$34)+COUNTIF(M31,'Stats Calculator'!E$35)+COUNTIF(N31,'Stats Calculator'!E$36)+COUNTIF(O31,'Stats Calculator'!E$37)+COUNTIF(P31,'Stats Calculator'!E$38)-8+Data!S$3)</f>
        <v>0</v>
      </c>
      <c r="AH31">
        <f>IF(I31="","",IF(Q31="",0,IF(Q31=0,0,IF(VLOOKUP(Engine!AF31,'Stats Calculator'!B$31:E$38,4,FALSE)="",0,IF(VLOOKUP(Engine!AF31,'Stats Calculator'!B$31:E$38,4,FALSE)=Q31,2,-2)))))</f>
        <v>0</v>
      </c>
      <c r="AI31">
        <f>IF(I31="","",Data!S$3-COUNTA('Stats Calculator'!E$31:E$38))</f>
        <v>7</v>
      </c>
      <c r="AJ31">
        <f>IF(I31="","",IF(AF31=0,0,IF(VLOOKUP(AF31,'Stats Calculator'!B$31:E$38,4,FALSE)&gt;0,0,2)))</f>
        <v>2</v>
      </c>
      <c r="AK31">
        <f>IF(I31="","",IF(Data!S$3-Engine!AI31=AG31,2,0))</f>
        <v>0</v>
      </c>
      <c r="AL31">
        <f t="shared" si="14"/>
        <v>9</v>
      </c>
    </row>
    <row r="32" spans="1:38" x14ac:dyDescent="0.35">
      <c r="A32">
        <v>31</v>
      </c>
      <c r="B32">
        <f t="shared" si="0"/>
        <v>25</v>
      </c>
      <c r="C32" s="111">
        <f t="shared" si="8"/>
        <v>29.011550063000001</v>
      </c>
      <c r="D32">
        <f t="shared" si="1"/>
        <v>28</v>
      </c>
      <c r="E32" s="3" t="str">
        <f t="shared" si="9"/>
        <v>q</v>
      </c>
      <c r="F32">
        <f t="shared" si="10"/>
        <v>3</v>
      </c>
      <c r="G32">
        <v>63</v>
      </c>
      <c r="H32" t="str">
        <f>Data!A33</f>
        <v>MJP181</v>
      </c>
      <c r="I32" s="2" t="str">
        <f>Data!C33</f>
        <v>Sea Eagles</v>
      </c>
      <c r="J32" s="2" t="str">
        <f>Data!D33</f>
        <v>Bulldogs</v>
      </c>
      <c r="K32" s="2" t="str">
        <f>Data!E33</f>
        <v>Storm</v>
      </c>
      <c r="L32" s="2" t="str">
        <f>IF(Data!$S$3&lt;Engine!L$1,0,Data!F33)</f>
        <v>Broncos</v>
      </c>
      <c r="M32" s="2" t="str">
        <f>IF(Data!$S$3&lt;Engine!M$1,0,Data!G33)</f>
        <v>Panthers</v>
      </c>
      <c r="N32" s="2" t="str">
        <f>IF(Data!$S$3&lt;Engine!N$1,0,Data!H33)</f>
        <v>Raiders</v>
      </c>
      <c r="O32" s="2" t="str">
        <f>IF(Data!$S$3&lt;Engine!O$1,0,Data!I33)</f>
        <v>Sharks</v>
      </c>
      <c r="P32" s="2" t="str">
        <f>IF(Data!$S$3&lt;Engine!P$1,0,Data!J33)</f>
        <v>Eels</v>
      </c>
      <c r="Q32" s="11" t="str">
        <f>IF(Data!B33=1,Data!K33,"No Tips")</f>
        <v>Storm</v>
      </c>
      <c r="R32" s="2">
        <f>Data!L33</f>
        <v>29</v>
      </c>
      <c r="S32" s="2">
        <f>Data!M33</f>
        <v>1155</v>
      </c>
      <c r="T32" s="1">
        <f>IF(I32="","",COUNTIF('Live Ladder'!P:P,I32)+COUNTIF('Live Ladder'!P:P,J32)+COUNTIF('Live Ladder'!P:P,K32)+COUNTIF('Live Ladder'!P:P,L32)+COUNTIF('Live Ladder'!P:P,M32)+COUNTIF('Live Ladder'!P:P,N32)+COUNTIF('Live Ladder'!P:P,O32)+COUNTIF('Live Ladder'!P:P,P32))</f>
        <v>0</v>
      </c>
      <c r="U32" s="1">
        <f>IF(I32="","",IF(COUNTIF('Live Ladder'!P:P,Engine!Q32)=1,2,IF(COUNTIF('Live Ladder'!Q:Q,Engine!Q32)=1,-2,0)))</f>
        <v>0</v>
      </c>
      <c r="V32" s="1">
        <f>IF(I32="","",IF(T32=Data!S$3,2,0))</f>
        <v>0</v>
      </c>
      <c r="W32" s="1">
        <f t="shared" si="11"/>
        <v>0</v>
      </c>
      <c r="X32" s="1">
        <f>IF(I32="",AE$2,IF(I32='Live Ladder'!B$4,'Live Ladder'!C$4,'Live Ladder'!D$4)+IF(J32='Live Ladder'!B$5,'Live Ladder'!C$5,'Live Ladder'!D$5)+IF(K32='Live Ladder'!B$6,'Live Ladder'!C$6,'Live Ladder'!D$6)+IF(L32='Live Ladder'!B$7,'Live Ladder'!C$7,'Live Ladder'!D$7)+IF(M32='Live Ladder'!B$8,'Live Ladder'!C$8,'Live Ladder'!D$8)+IF(N32='Live Ladder'!B$9,'Live Ladder'!C$9,'Live Ladder'!D$9)+IF(O32='Live Ladder'!B$10,'Live Ladder'!C$10,'Live Ladder'!D$10)+IF(P32='Live Ladder'!B$11,'Live Ladder'!C$11,'Live Ladder'!D$11))</f>
        <v>18</v>
      </c>
      <c r="Y32">
        <f t="shared" si="17"/>
        <v>29</v>
      </c>
      <c r="Z32">
        <f t="shared" si="12"/>
        <v>1173</v>
      </c>
      <c r="AA32" s="111">
        <f t="shared" si="13"/>
        <v>29.011730063000002</v>
      </c>
      <c r="AB32">
        <f t="shared" si="16"/>
        <v>0</v>
      </c>
      <c r="AC32">
        <f>IF(I32="","",IF(I32='Live Ladder'!B$4,'Live Ladder'!C$4,'Live Ladder'!D$4)+IF(J32='Live Ladder'!B$5,'Live Ladder'!C$5,'Live Ladder'!D$5)+IF(K32='Live Ladder'!B$6,'Live Ladder'!C$6,'Live Ladder'!D$6)+IF(L32='Live Ladder'!B$7,'Live Ladder'!C$7,'Live Ladder'!D$7)+IF(M32='Live Ladder'!B$8,'Live Ladder'!C$8,'Live Ladder'!D$8)+IF(N32='Live Ladder'!B$9,'Live Ladder'!C$9,'Live Ladder'!D$9)+IF(O32='Live Ladder'!B$10,'Live Ladder'!C$10,'Live Ladder'!D$10)+IF(P32='Live Ladder'!B$11,'Live Ladder'!C$11,'Live Ladder'!D$11))</f>
        <v>18</v>
      </c>
      <c r="AF32">
        <f>IF(I32="","",IF(Q32="",0,IF(AND(Q32&gt;0,COUNTIF('Stats Calculator'!$T$24:$AA$24,Q32)=1),HLOOKUP(Q32,'Stats Calculator'!$T$24:$AA$27,4,FALSE),IF(AND(Q32&gt;0,COUNTIF('Stats Calculator'!$T$25:$AA$25,Q32)=1),HLOOKUP(Q32,'Stats Calculator'!$T$25:$AA$27,3,FALSE)))))</f>
        <v>3</v>
      </c>
      <c r="AG32">
        <f>IF(I32="","",COUNTIF(I32,'Stats Calculator'!E$31)+COUNTIF(J32,'Stats Calculator'!E$32)+COUNTIF(K32,'Stats Calculator'!E$33)+COUNTIF(L32,'Stats Calculator'!E$34)+COUNTIF(M32,'Stats Calculator'!E$35)+COUNTIF(N32,'Stats Calculator'!E$36)+COUNTIF(O32,'Stats Calculator'!E$37)+COUNTIF(P32,'Stats Calculator'!E$38)-8+Data!S$3)</f>
        <v>0</v>
      </c>
      <c r="AH32">
        <f>IF(I32="","",IF(Q32="",0,IF(Q32=0,0,IF(VLOOKUP(Engine!AF32,'Stats Calculator'!B$31:E$38,4,FALSE)="",0,IF(VLOOKUP(Engine!AF32,'Stats Calculator'!B$31:E$38,4,FALSE)=Q32,2,-2)))))</f>
        <v>0</v>
      </c>
      <c r="AI32">
        <f>IF(I32="","",Data!S$3-COUNTA('Stats Calculator'!E$31:E$38))</f>
        <v>7</v>
      </c>
      <c r="AJ32">
        <f>IF(I32="","",IF(AF32=0,0,IF(VLOOKUP(AF32,'Stats Calculator'!B$31:E$38,4,FALSE)&gt;0,0,2)))</f>
        <v>2</v>
      </c>
      <c r="AK32">
        <f>IF(I32="","",IF(Data!S$3-Engine!AI32=AG32,2,0))</f>
        <v>0</v>
      </c>
      <c r="AL32">
        <f t="shared" si="14"/>
        <v>9</v>
      </c>
    </row>
    <row r="33" spans="1:38" x14ac:dyDescent="0.35">
      <c r="A33">
        <v>32</v>
      </c>
      <c r="B33">
        <f t="shared" si="0"/>
        <v>14</v>
      </c>
      <c r="C33" s="111">
        <f t="shared" si="8"/>
        <v>31.012320062000001</v>
      </c>
      <c r="D33">
        <f t="shared" si="1"/>
        <v>22</v>
      </c>
      <c r="E33" s="3" t="str">
        <f t="shared" si="9"/>
        <v>q</v>
      </c>
      <c r="F33">
        <f t="shared" si="10"/>
        <v>8</v>
      </c>
      <c r="G33">
        <v>62</v>
      </c>
      <c r="H33" t="str">
        <f>Data!A34</f>
        <v>MLC</v>
      </c>
      <c r="I33" s="2" t="str">
        <f>Data!C34</f>
        <v>Sea Eagles</v>
      </c>
      <c r="J33" s="2" t="str">
        <f>Data!D34</f>
        <v>Rabbitohs</v>
      </c>
      <c r="K33" s="2" t="str">
        <f>Data!E34</f>
        <v>Dolphins</v>
      </c>
      <c r="L33" s="2" t="str">
        <f>IF(Data!$S$3&lt;Engine!L$1,0,Data!F34)</f>
        <v>Broncos</v>
      </c>
      <c r="M33" s="2" t="str">
        <f>IF(Data!$S$3&lt;Engine!M$1,0,Data!G34)</f>
        <v>Panthers</v>
      </c>
      <c r="N33" s="2" t="str">
        <f>IF(Data!$S$3&lt;Engine!N$1,0,Data!H34)</f>
        <v>Titans</v>
      </c>
      <c r="O33" s="2" t="str">
        <f>IF(Data!$S$3&lt;Engine!O$1,0,Data!I34)</f>
        <v>Knights</v>
      </c>
      <c r="P33" s="2" t="str">
        <f>IF(Data!$S$3&lt;Engine!P$1,0,Data!J34)</f>
        <v>Wests Tigers</v>
      </c>
      <c r="Q33" s="11" t="str">
        <f>IF(Data!B34=1,Data!K34,"No Tips")</f>
        <v>Sea Eagles</v>
      </c>
      <c r="R33" s="2">
        <f>Data!L34</f>
        <v>31</v>
      </c>
      <c r="S33" s="2">
        <f>Data!M34</f>
        <v>1232</v>
      </c>
      <c r="T33" s="1">
        <f>IF(I33="","",COUNTIF('Live Ladder'!P:P,I33)+COUNTIF('Live Ladder'!P:P,J33)+COUNTIF('Live Ladder'!P:P,K33)+COUNTIF('Live Ladder'!P:P,L33)+COUNTIF('Live Ladder'!P:P,M33)+COUNTIF('Live Ladder'!P:P,N33)+COUNTIF('Live Ladder'!P:P,O33)+COUNTIF('Live Ladder'!P:P,P33))</f>
        <v>0</v>
      </c>
      <c r="U33" s="1">
        <f>IF(I33="","",IF(COUNTIF('Live Ladder'!P:P,Engine!Q33)=1,2,IF(COUNTIF('Live Ladder'!Q:Q,Engine!Q33)=1,-2,0)))</f>
        <v>-2</v>
      </c>
      <c r="V33" s="1">
        <f>IF(I33="","",IF(T33=Data!S$3,2,0))</f>
        <v>0</v>
      </c>
      <c r="W33" s="1">
        <f t="shared" si="11"/>
        <v>-2</v>
      </c>
      <c r="X33" s="1">
        <f>IF(I33="",AE$2,IF(I33='Live Ladder'!B$4,'Live Ladder'!C$4,'Live Ladder'!D$4)+IF(J33='Live Ladder'!B$5,'Live Ladder'!C$5,'Live Ladder'!D$5)+IF(K33='Live Ladder'!B$6,'Live Ladder'!C$6,'Live Ladder'!D$6)+IF(L33='Live Ladder'!B$7,'Live Ladder'!C$7,'Live Ladder'!D$7)+IF(M33='Live Ladder'!B$8,'Live Ladder'!C$8,'Live Ladder'!D$8)+IF(N33='Live Ladder'!B$9,'Live Ladder'!C$9,'Live Ladder'!D$9)+IF(O33='Live Ladder'!B$10,'Live Ladder'!C$10,'Live Ladder'!D$10)+IF(P33='Live Ladder'!B$11,'Live Ladder'!C$11,'Live Ladder'!D$11))</f>
        <v>18</v>
      </c>
      <c r="Y33">
        <f t="shared" si="17"/>
        <v>29</v>
      </c>
      <c r="Z33">
        <f t="shared" si="12"/>
        <v>1250</v>
      </c>
      <c r="AA33" s="111">
        <f t="shared" si="13"/>
        <v>29.012500062000001</v>
      </c>
      <c r="AB33">
        <f t="shared" si="16"/>
        <v>-2</v>
      </c>
      <c r="AC33">
        <f>IF(I33="","",IF(I33='Live Ladder'!B$4,'Live Ladder'!C$4,'Live Ladder'!D$4)+IF(J33='Live Ladder'!B$5,'Live Ladder'!C$5,'Live Ladder'!D$5)+IF(K33='Live Ladder'!B$6,'Live Ladder'!C$6,'Live Ladder'!D$6)+IF(L33='Live Ladder'!B$7,'Live Ladder'!C$7,'Live Ladder'!D$7)+IF(M33='Live Ladder'!B$8,'Live Ladder'!C$8,'Live Ladder'!D$8)+IF(N33='Live Ladder'!B$9,'Live Ladder'!C$9,'Live Ladder'!D$9)+IF(O33='Live Ladder'!B$10,'Live Ladder'!C$10,'Live Ladder'!D$10)+IF(P33='Live Ladder'!B$11,'Live Ladder'!C$11,'Live Ladder'!D$11))</f>
        <v>18</v>
      </c>
      <c r="AF33">
        <f>IF(I33="","",IF(Q33="",0,IF(AND(Q33&gt;0,COUNTIF('Stats Calculator'!$T$24:$AA$24,Q33)=1),HLOOKUP(Q33,'Stats Calculator'!$T$24:$AA$27,4,FALSE),IF(AND(Q33&gt;0,COUNTIF('Stats Calculator'!$T$25:$AA$25,Q33)=1),HLOOKUP(Q33,'Stats Calculator'!$T$25:$AA$27,3,FALSE)))))</f>
        <v>1</v>
      </c>
      <c r="AG33">
        <f>IF(I33="","",COUNTIF(I33,'Stats Calculator'!E$31)+COUNTIF(J33,'Stats Calculator'!E$32)+COUNTIF(K33,'Stats Calculator'!E$33)+COUNTIF(L33,'Stats Calculator'!E$34)+COUNTIF(M33,'Stats Calculator'!E$35)+COUNTIF(N33,'Stats Calculator'!E$36)+COUNTIF(O33,'Stats Calculator'!E$37)+COUNTIF(P33,'Stats Calculator'!E$38)-8+Data!S$3)</f>
        <v>0</v>
      </c>
      <c r="AH33">
        <f>IF(I33="","",IF(Q33="",0,IF(Q33=0,0,IF(VLOOKUP(Engine!AF33,'Stats Calculator'!B$31:E$38,4,FALSE)="",0,IF(VLOOKUP(Engine!AF33,'Stats Calculator'!B$31:E$38,4,FALSE)=Q33,2,-2)))))</f>
        <v>-2</v>
      </c>
      <c r="AI33">
        <f>IF(I33="","",Data!S$3-COUNTA('Stats Calculator'!E$31:E$38))</f>
        <v>7</v>
      </c>
      <c r="AJ33">
        <f>IF(I33="","",IF(AF33=0,0,IF(VLOOKUP(AF33,'Stats Calculator'!B$31:E$38,4,FALSE)&gt;0,0,2)))</f>
        <v>0</v>
      </c>
      <c r="AK33">
        <f>IF(I33="","",IF(Data!S$3-Engine!AI33=AG33,2,0))</f>
        <v>0</v>
      </c>
      <c r="AL33">
        <f t="shared" si="14"/>
        <v>5</v>
      </c>
    </row>
    <row r="34" spans="1:38" x14ac:dyDescent="0.35">
      <c r="A34">
        <v>33</v>
      </c>
      <c r="B34">
        <f t="shared" ref="B34:B65" si="18">IF(H34="ZZZZZZ Suspend","",RANK(C34,C:C))</f>
        <v>16</v>
      </c>
      <c r="C34" s="111">
        <f t="shared" si="8"/>
        <v>31.011870061</v>
      </c>
      <c r="D34">
        <f t="shared" ref="D34:D65" si="19">IF(H34="ZZZZZZ Suspend","",RANK(AA34,AA:AA))</f>
        <v>15</v>
      </c>
      <c r="E34" s="3" t="str">
        <f t="shared" si="9"/>
        <v>p</v>
      </c>
      <c r="F34">
        <f t="shared" si="10"/>
        <v>1</v>
      </c>
      <c r="G34">
        <v>61</v>
      </c>
      <c r="H34" t="str">
        <f>Data!A35</f>
        <v>MR. TAYLOR</v>
      </c>
      <c r="I34" s="2" t="str">
        <f>Data!C35</f>
        <v>Sea Eagles</v>
      </c>
      <c r="J34" s="2" t="str">
        <f>Data!D35</f>
        <v>Bulldogs</v>
      </c>
      <c r="K34" s="2" t="str">
        <f>Data!E35</f>
        <v>Storm</v>
      </c>
      <c r="L34" s="2" t="str">
        <f>IF(Data!$S$3&lt;Engine!L$1,0,Data!F35)</f>
        <v>Broncos</v>
      </c>
      <c r="M34" s="2" t="str">
        <f>IF(Data!$S$3&lt;Engine!M$1,0,Data!G35)</f>
        <v>Panthers</v>
      </c>
      <c r="N34" s="2" t="str">
        <f>IF(Data!$S$3&lt;Engine!N$1,0,Data!H35)</f>
        <v>Raiders</v>
      </c>
      <c r="O34" s="2" t="str">
        <f>IF(Data!$S$3&lt;Engine!O$1,0,Data!I35)</f>
        <v>Sharks</v>
      </c>
      <c r="P34" s="2" t="str">
        <f>IF(Data!$S$3&lt;Engine!P$1,0,Data!J35)</f>
        <v>Wests Tigers</v>
      </c>
      <c r="Q34" s="11" t="str">
        <f>IF(Data!B35=1,Data!K35,"No Tips")</f>
        <v>Storm</v>
      </c>
      <c r="R34" s="2">
        <f>Data!L35</f>
        <v>31</v>
      </c>
      <c r="S34" s="2">
        <f>Data!M35</f>
        <v>1187</v>
      </c>
      <c r="T34" s="1">
        <f>IF(I34="","",COUNTIF('Live Ladder'!P:P,I34)+COUNTIF('Live Ladder'!P:P,J34)+COUNTIF('Live Ladder'!P:P,K34)+COUNTIF('Live Ladder'!P:P,L34)+COUNTIF('Live Ladder'!P:P,M34)+COUNTIF('Live Ladder'!P:P,N34)+COUNTIF('Live Ladder'!P:P,O34)+COUNTIF('Live Ladder'!P:P,P34))</f>
        <v>0</v>
      </c>
      <c r="U34" s="1">
        <f>IF(I34="","",IF(COUNTIF('Live Ladder'!P:P,Engine!Q34)=1,2,IF(COUNTIF('Live Ladder'!Q:Q,Engine!Q34)=1,-2,0)))</f>
        <v>0</v>
      </c>
      <c r="V34" s="1">
        <f>IF(I34="","",IF(T34=Data!S$3,2,0))</f>
        <v>0</v>
      </c>
      <c r="W34" s="1">
        <f t="shared" si="11"/>
        <v>0</v>
      </c>
      <c r="X34" s="1">
        <f>IF(I34="",AE$2,IF(I34='Live Ladder'!B$4,'Live Ladder'!C$4,'Live Ladder'!D$4)+IF(J34='Live Ladder'!B$5,'Live Ladder'!C$5,'Live Ladder'!D$5)+IF(K34='Live Ladder'!B$6,'Live Ladder'!C$6,'Live Ladder'!D$6)+IF(L34='Live Ladder'!B$7,'Live Ladder'!C$7,'Live Ladder'!D$7)+IF(M34='Live Ladder'!B$8,'Live Ladder'!C$8,'Live Ladder'!D$8)+IF(N34='Live Ladder'!B$9,'Live Ladder'!C$9,'Live Ladder'!D$9)+IF(O34='Live Ladder'!B$10,'Live Ladder'!C$10,'Live Ladder'!D$10)+IF(P34='Live Ladder'!B$11,'Live Ladder'!C$11,'Live Ladder'!D$11))</f>
        <v>18</v>
      </c>
      <c r="Y34">
        <f t="shared" si="17"/>
        <v>31</v>
      </c>
      <c r="Z34">
        <f t="shared" si="12"/>
        <v>1205</v>
      </c>
      <c r="AA34" s="111">
        <f t="shared" si="13"/>
        <v>31.012050061</v>
      </c>
      <c r="AB34">
        <f t="shared" si="16"/>
        <v>0</v>
      </c>
      <c r="AC34">
        <f>IF(I34="","",IF(I34='Live Ladder'!B$4,'Live Ladder'!C$4,'Live Ladder'!D$4)+IF(J34='Live Ladder'!B$5,'Live Ladder'!C$5,'Live Ladder'!D$5)+IF(K34='Live Ladder'!B$6,'Live Ladder'!C$6,'Live Ladder'!D$6)+IF(L34='Live Ladder'!B$7,'Live Ladder'!C$7,'Live Ladder'!D$7)+IF(M34='Live Ladder'!B$8,'Live Ladder'!C$8,'Live Ladder'!D$8)+IF(N34='Live Ladder'!B$9,'Live Ladder'!C$9,'Live Ladder'!D$9)+IF(O34='Live Ladder'!B$10,'Live Ladder'!C$10,'Live Ladder'!D$10)+IF(P34='Live Ladder'!B$11,'Live Ladder'!C$11,'Live Ladder'!D$11))</f>
        <v>18</v>
      </c>
      <c r="AF34">
        <f>IF(I34="","",IF(Q34="",0,IF(AND(Q34&gt;0,COUNTIF('Stats Calculator'!$T$24:$AA$24,Q34)=1),HLOOKUP(Q34,'Stats Calculator'!$T$24:$AA$27,4,FALSE),IF(AND(Q34&gt;0,COUNTIF('Stats Calculator'!$T$25:$AA$25,Q34)=1),HLOOKUP(Q34,'Stats Calculator'!$T$25:$AA$27,3,FALSE)))))</f>
        <v>3</v>
      </c>
      <c r="AG34">
        <f>IF(I34="","",COUNTIF(I34,'Stats Calculator'!E$31)+COUNTIF(J34,'Stats Calculator'!E$32)+COUNTIF(K34,'Stats Calculator'!E$33)+COUNTIF(L34,'Stats Calculator'!E$34)+COUNTIF(M34,'Stats Calculator'!E$35)+COUNTIF(N34,'Stats Calculator'!E$36)+COUNTIF(O34,'Stats Calculator'!E$37)+COUNTIF(P34,'Stats Calculator'!E$38)-8+Data!S$3)</f>
        <v>0</v>
      </c>
      <c r="AH34">
        <f>IF(I34="","",IF(Q34="",0,IF(Q34=0,0,IF(VLOOKUP(Engine!AF34,'Stats Calculator'!B$31:E$38,4,FALSE)="",0,IF(VLOOKUP(Engine!AF34,'Stats Calculator'!B$31:E$38,4,FALSE)=Q34,2,-2)))))</f>
        <v>0</v>
      </c>
      <c r="AI34">
        <f>IF(I34="","",Data!S$3-COUNTA('Stats Calculator'!E$31:E$38))</f>
        <v>7</v>
      </c>
      <c r="AJ34">
        <f>IF(I34="","",IF(AF34=0,0,IF(VLOOKUP(AF34,'Stats Calculator'!B$31:E$38,4,FALSE)&gt;0,0,2)))</f>
        <v>2</v>
      </c>
      <c r="AK34">
        <f>IF(I34="","",IF(Data!S$3-Engine!AI34=AG34,2,0))</f>
        <v>0</v>
      </c>
      <c r="AL34">
        <f t="shared" si="14"/>
        <v>9</v>
      </c>
    </row>
    <row r="35" spans="1:38" x14ac:dyDescent="0.35">
      <c r="A35">
        <v>34</v>
      </c>
      <c r="B35">
        <f t="shared" si="18"/>
        <v>7</v>
      </c>
      <c r="C35" s="111">
        <f t="shared" si="8"/>
        <v>34.011630059999995</v>
      </c>
      <c r="D35">
        <f t="shared" si="19"/>
        <v>7</v>
      </c>
      <c r="E35" s="3" t="str">
        <f t="shared" si="9"/>
        <v>u</v>
      </c>
      <c r="F35" t="str">
        <f t="shared" si="10"/>
        <v/>
      </c>
      <c r="G35">
        <v>60</v>
      </c>
      <c r="H35" t="str">
        <f>Data!A36</f>
        <v>murch</v>
      </c>
      <c r="I35" s="2" t="str">
        <f>Data!C36</f>
        <v>Sea Eagles</v>
      </c>
      <c r="J35" s="2" t="str">
        <f>Data!D36</f>
        <v>Bulldogs</v>
      </c>
      <c r="K35" s="2" t="str">
        <f>Data!E36</f>
        <v>Storm</v>
      </c>
      <c r="L35" s="2" t="str">
        <f>IF(Data!$S$3&lt;Engine!L$1,0,Data!F36)</f>
        <v>Broncos</v>
      </c>
      <c r="M35" s="2" t="str">
        <f>IF(Data!$S$3&lt;Engine!M$1,0,Data!G36)</f>
        <v>Roosters</v>
      </c>
      <c r="N35" s="2" t="str">
        <f>IF(Data!$S$3&lt;Engine!N$1,0,Data!H36)</f>
        <v>Raiders</v>
      </c>
      <c r="O35" s="2" t="str">
        <f>IF(Data!$S$3&lt;Engine!O$1,0,Data!I36)</f>
        <v>Sharks</v>
      </c>
      <c r="P35" s="2" t="str">
        <f>IF(Data!$S$3&lt;Engine!P$1,0,Data!J36)</f>
        <v>Wests Tigers</v>
      </c>
      <c r="Q35" s="11" t="str">
        <f>IF(Data!B36=1,Data!K36,"No Tips")</f>
        <v>Storm</v>
      </c>
      <c r="R35" s="2">
        <f>Data!L36</f>
        <v>34</v>
      </c>
      <c r="S35" s="2">
        <f>Data!M36</f>
        <v>1163</v>
      </c>
      <c r="T35" s="1">
        <f>IF(I35="","",COUNTIF('Live Ladder'!P:P,I35)+COUNTIF('Live Ladder'!P:P,J35)+COUNTIF('Live Ladder'!P:P,K35)+COUNTIF('Live Ladder'!P:P,L35)+COUNTIF('Live Ladder'!P:P,M35)+COUNTIF('Live Ladder'!P:P,N35)+COUNTIF('Live Ladder'!P:P,O35)+COUNTIF('Live Ladder'!P:P,P35))</f>
        <v>0</v>
      </c>
      <c r="U35" s="1">
        <f>IF(I35="","",IF(COUNTIF('Live Ladder'!P:P,Engine!Q35)=1,2,IF(COUNTIF('Live Ladder'!Q:Q,Engine!Q35)=1,-2,0)))</f>
        <v>0</v>
      </c>
      <c r="V35" s="1">
        <f>IF(I35="","",IF(T35=Data!S$3,2,0))</f>
        <v>0</v>
      </c>
      <c r="W35" s="1">
        <f t="shared" si="11"/>
        <v>0</v>
      </c>
      <c r="X35" s="1">
        <f>IF(I35="",AE$2,IF(I35='Live Ladder'!B$4,'Live Ladder'!C$4,'Live Ladder'!D$4)+IF(J35='Live Ladder'!B$5,'Live Ladder'!C$5,'Live Ladder'!D$5)+IF(K35='Live Ladder'!B$6,'Live Ladder'!C$6,'Live Ladder'!D$6)+IF(L35='Live Ladder'!B$7,'Live Ladder'!C$7,'Live Ladder'!D$7)+IF(M35='Live Ladder'!B$8,'Live Ladder'!C$8,'Live Ladder'!D$8)+IF(N35='Live Ladder'!B$9,'Live Ladder'!C$9,'Live Ladder'!D$9)+IF(O35='Live Ladder'!B$10,'Live Ladder'!C$10,'Live Ladder'!D$10)+IF(P35='Live Ladder'!B$11,'Live Ladder'!C$11,'Live Ladder'!D$11))</f>
        <v>18</v>
      </c>
      <c r="Y35">
        <f t="shared" si="17"/>
        <v>34</v>
      </c>
      <c r="Z35">
        <f t="shared" si="12"/>
        <v>1181</v>
      </c>
      <c r="AA35" s="111">
        <f t="shared" si="13"/>
        <v>34.011810059999995</v>
      </c>
      <c r="AB35">
        <f t="shared" si="16"/>
        <v>0</v>
      </c>
      <c r="AC35">
        <f>IF(I35="","",IF(I35='Live Ladder'!B$4,'Live Ladder'!C$4,'Live Ladder'!D$4)+IF(J35='Live Ladder'!B$5,'Live Ladder'!C$5,'Live Ladder'!D$5)+IF(K35='Live Ladder'!B$6,'Live Ladder'!C$6,'Live Ladder'!D$6)+IF(L35='Live Ladder'!B$7,'Live Ladder'!C$7,'Live Ladder'!D$7)+IF(M35='Live Ladder'!B$8,'Live Ladder'!C$8,'Live Ladder'!D$8)+IF(N35='Live Ladder'!B$9,'Live Ladder'!C$9,'Live Ladder'!D$9)+IF(O35='Live Ladder'!B$10,'Live Ladder'!C$10,'Live Ladder'!D$10)+IF(P35='Live Ladder'!B$11,'Live Ladder'!C$11,'Live Ladder'!D$11))</f>
        <v>18</v>
      </c>
      <c r="AF35">
        <f>IF(I35="","",IF(Q35="",0,IF(AND(Q35&gt;0,COUNTIF('Stats Calculator'!$T$24:$AA$24,Q35)=1),HLOOKUP(Q35,'Stats Calculator'!$T$24:$AA$27,4,FALSE),IF(AND(Q35&gt;0,COUNTIF('Stats Calculator'!$T$25:$AA$25,Q35)=1),HLOOKUP(Q35,'Stats Calculator'!$T$25:$AA$27,3,FALSE)))))</f>
        <v>3</v>
      </c>
      <c r="AG35">
        <f>IF(I35="","",COUNTIF(I35,'Stats Calculator'!E$31)+COUNTIF(J35,'Stats Calculator'!E$32)+COUNTIF(K35,'Stats Calculator'!E$33)+COUNTIF(L35,'Stats Calculator'!E$34)+COUNTIF(M35,'Stats Calculator'!E$35)+COUNTIF(N35,'Stats Calculator'!E$36)+COUNTIF(O35,'Stats Calculator'!E$37)+COUNTIF(P35,'Stats Calculator'!E$38)-8+Data!S$3)</f>
        <v>0</v>
      </c>
      <c r="AH35">
        <f>IF(I35="","",IF(Q35="",0,IF(Q35=0,0,IF(VLOOKUP(Engine!AF35,'Stats Calculator'!B$31:E$38,4,FALSE)="",0,IF(VLOOKUP(Engine!AF35,'Stats Calculator'!B$31:E$38,4,FALSE)=Q35,2,-2)))))</f>
        <v>0</v>
      </c>
      <c r="AI35">
        <f>IF(I35="","",Data!S$3-COUNTA('Stats Calculator'!E$31:E$38))</f>
        <v>7</v>
      </c>
      <c r="AJ35">
        <f>IF(I35="","",IF(AF35=0,0,IF(VLOOKUP(AF35,'Stats Calculator'!B$31:E$38,4,FALSE)&gt;0,0,2)))</f>
        <v>2</v>
      </c>
      <c r="AK35">
        <f>IF(I35="","",IF(Data!S$3-Engine!AI35=AG35,2,0))</f>
        <v>0</v>
      </c>
      <c r="AL35">
        <f t="shared" si="14"/>
        <v>9</v>
      </c>
    </row>
    <row r="36" spans="1:38" x14ac:dyDescent="0.35">
      <c r="A36">
        <v>35</v>
      </c>
      <c r="B36">
        <f t="shared" si="18"/>
        <v>37</v>
      </c>
      <c r="C36" s="111">
        <f t="shared" si="8"/>
        <v>26.011480059</v>
      </c>
      <c r="D36">
        <f t="shared" si="19"/>
        <v>36</v>
      </c>
      <c r="E36" s="3" t="str">
        <f t="shared" si="9"/>
        <v>p</v>
      </c>
      <c r="F36">
        <f t="shared" si="10"/>
        <v>1</v>
      </c>
      <c r="G36">
        <v>59</v>
      </c>
      <c r="H36" t="str">
        <f>Data!A37</f>
        <v>Neville</v>
      </c>
      <c r="I36" s="2" t="str">
        <f>Data!C37</f>
        <v>Sea Eagles</v>
      </c>
      <c r="J36" s="2" t="str">
        <f>Data!D37</f>
        <v>Rabbitohs</v>
      </c>
      <c r="K36" s="2" t="str">
        <f>Data!E37</f>
        <v>Storm</v>
      </c>
      <c r="L36" s="2" t="str">
        <f>IF(Data!$S$3&lt;Engine!L$1,0,Data!F37)</f>
        <v>Broncos</v>
      </c>
      <c r="M36" s="2" t="str">
        <f>IF(Data!$S$3&lt;Engine!M$1,0,Data!G37)</f>
        <v>Panthers</v>
      </c>
      <c r="N36" s="2" t="str">
        <f>IF(Data!$S$3&lt;Engine!N$1,0,Data!H37)</f>
        <v>Raiders</v>
      </c>
      <c r="O36" s="2" t="str">
        <f>IF(Data!$S$3&lt;Engine!O$1,0,Data!I37)</f>
        <v>Sharks</v>
      </c>
      <c r="P36" s="2" t="str">
        <f>IF(Data!$S$3&lt;Engine!P$1,0,Data!J37)</f>
        <v>Eels</v>
      </c>
      <c r="Q36" s="11" t="str">
        <f>IF(Data!B37=1,Data!K37,"No Tips")</f>
        <v>Storm</v>
      </c>
      <c r="R36" s="2">
        <f>Data!L37</f>
        <v>26</v>
      </c>
      <c r="S36" s="2">
        <f>Data!M37</f>
        <v>1148</v>
      </c>
      <c r="T36" s="1">
        <f>IF(I36="","",COUNTIF('Live Ladder'!P:P,I36)+COUNTIF('Live Ladder'!P:P,J36)+COUNTIF('Live Ladder'!P:P,K36)+COUNTIF('Live Ladder'!P:P,L36)+COUNTIF('Live Ladder'!P:P,M36)+COUNTIF('Live Ladder'!P:P,N36)+COUNTIF('Live Ladder'!P:P,O36)+COUNTIF('Live Ladder'!P:P,P36))</f>
        <v>0</v>
      </c>
      <c r="U36" s="1">
        <f>IF(I36="","",IF(COUNTIF('Live Ladder'!P:P,Engine!Q36)=1,2,IF(COUNTIF('Live Ladder'!Q:Q,Engine!Q36)=1,-2,0)))</f>
        <v>0</v>
      </c>
      <c r="V36" s="1">
        <f>IF(I36="","",IF(T36=Data!S$3,2,0))</f>
        <v>0</v>
      </c>
      <c r="W36" s="1">
        <f t="shared" si="11"/>
        <v>0</v>
      </c>
      <c r="X36" s="1">
        <f>IF(I36="",AE$2,IF(I36='Live Ladder'!B$4,'Live Ladder'!C$4,'Live Ladder'!D$4)+IF(J36='Live Ladder'!B$5,'Live Ladder'!C$5,'Live Ladder'!D$5)+IF(K36='Live Ladder'!B$6,'Live Ladder'!C$6,'Live Ladder'!D$6)+IF(L36='Live Ladder'!B$7,'Live Ladder'!C$7,'Live Ladder'!D$7)+IF(M36='Live Ladder'!B$8,'Live Ladder'!C$8,'Live Ladder'!D$8)+IF(N36='Live Ladder'!B$9,'Live Ladder'!C$9,'Live Ladder'!D$9)+IF(O36='Live Ladder'!B$10,'Live Ladder'!C$10,'Live Ladder'!D$10)+IF(P36='Live Ladder'!B$11,'Live Ladder'!C$11,'Live Ladder'!D$11))</f>
        <v>18</v>
      </c>
      <c r="Y36">
        <f t="shared" si="17"/>
        <v>26</v>
      </c>
      <c r="Z36">
        <f t="shared" si="12"/>
        <v>1166</v>
      </c>
      <c r="AA36" s="111">
        <f t="shared" si="13"/>
        <v>26.011660059</v>
      </c>
      <c r="AB36">
        <f t="shared" si="16"/>
        <v>0</v>
      </c>
      <c r="AC36">
        <f>IF(I36="","",IF(I36='Live Ladder'!B$4,'Live Ladder'!C$4,'Live Ladder'!D$4)+IF(J36='Live Ladder'!B$5,'Live Ladder'!C$5,'Live Ladder'!D$5)+IF(K36='Live Ladder'!B$6,'Live Ladder'!C$6,'Live Ladder'!D$6)+IF(L36='Live Ladder'!B$7,'Live Ladder'!C$7,'Live Ladder'!D$7)+IF(M36='Live Ladder'!B$8,'Live Ladder'!C$8,'Live Ladder'!D$8)+IF(N36='Live Ladder'!B$9,'Live Ladder'!C$9,'Live Ladder'!D$9)+IF(O36='Live Ladder'!B$10,'Live Ladder'!C$10,'Live Ladder'!D$10)+IF(P36='Live Ladder'!B$11,'Live Ladder'!C$11,'Live Ladder'!D$11))</f>
        <v>18</v>
      </c>
      <c r="AF36">
        <f>IF(I36="","",IF(Q36="",0,IF(AND(Q36&gt;0,COUNTIF('Stats Calculator'!$T$24:$AA$24,Q36)=1),HLOOKUP(Q36,'Stats Calculator'!$T$24:$AA$27,4,FALSE),IF(AND(Q36&gt;0,COUNTIF('Stats Calculator'!$T$25:$AA$25,Q36)=1),HLOOKUP(Q36,'Stats Calculator'!$T$25:$AA$27,3,FALSE)))))</f>
        <v>3</v>
      </c>
      <c r="AG36">
        <f>IF(I36="","",COUNTIF(I36,'Stats Calculator'!E$31)+COUNTIF(J36,'Stats Calculator'!E$32)+COUNTIF(K36,'Stats Calculator'!E$33)+COUNTIF(L36,'Stats Calculator'!E$34)+COUNTIF(M36,'Stats Calculator'!E$35)+COUNTIF(N36,'Stats Calculator'!E$36)+COUNTIF(O36,'Stats Calculator'!E$37)+COUNTIF(P36,'Stats Calculator'!E$38)-8+Data!S$3)</f>
        <v>0</v>
      </c>
      <c r="AH36">
        <f>IF(I36="","",IF(Q36="",0,IF(Q36=0,0,IF(VLOOKUP(Engine!AF36,'Stats Calculator'!B$31:E$38,4,FALSE)="",0,IF(VLOOKUP(Engine!AF36,'Stats Calculator'!B$31:E$38,4,FALSE)=Q36,2,-2)))))</f>
        <v>0</v>
      </c>
      <c r="AI36">
        <f>IF(I36="","",Data!S$3-COUNTA('Stats Calculator'!E$31:E$38))</f>
        <v>7</v>
      </c>
      <c r="AJ36">
        <f>IF(I36="","",IF(AF36=0,0,IF(VLOOKUP(AF36,'Stats Calculator'!B$31:E$38,4,FALSE)&gt;0,0,2)))</f>
        <v>2</v>
      </c>
      <c r="AK36">
        <f>IF(I36="","",IF(Data!S$3-Engine!AI36=AG36,2,0))</f>
        <v>0</v>
      </c>
      <c r="AL36">
        <f t="shared" si="14"/>
        <v>9</v>
      </c>
    </row>
    <row r="37" spans="1:38" x14ac:dyDescent="0.35">
      <c r="A37">
        <v>36</v>
      </c>
      <c r="B37">
        <f t="shared" si="18"/>
        <v>50</v>
      </c>
      <c r="C37" s="111">
        <f t="shared" si="8"/>
        <v>21.011030058000003</v>
      </c>
      <c r="D37">
        <f t="shared" si="19"/>
        <v>55</v>
      </c>
      <c r="E37" s="3" t="str">
        <f t="shared" si="9"/>
        <v>q</v>
      </c>
      <c r="F37">
        <f t="shared" si="10"/>
        <v>5</v>
      </c>
      <c r="G37">
        <v>58</v>
      </c>
      <c r="H37" t="str">
        <f>Data!A38</f>
        <v>NotLast</v>
      </c>
      <c r="I37" s="2" t="str">
        <f>Data!C38</f>
        <v>Sea Eagles</v>
      </c>
      <c r="J37" s="2" t="str">
        <f>Data!D38</f>
        <v>Bulldogs</v>
      </c>
      <c r="K37" s="2" t="str">
        <f>Data!E38</f>
        <v>Storm</v>
      </c>
      <c r="L37" s="2" t="str">
        <f>IF(Data!$S$3&lt;Engine!L$1,0,Data!F38)</f>
        <v>Warriors</v>
      </c>
      <c r="M37" s="2" t="str">
        <f>IF(Data!$S$3&lt;Engine!M$1,0,Data!G38)</f>
        <v>Panthers</v>
      </c>
      <c r="N37" s="2" t="str">
        <f>IF(Data!$S$3&lt;Engine!N$1,0,Data!H38)</f>
        <v>Titans</v>
      </c>
      <c r="O37" s="2" t="str">
        <f>IF(Data!$S$3&lt;Engine!O$1,0,Data!I38)</f>
        <v>Sharks</v>
      </c>
      <c r="P37" s="2" t="str">
        <f>IF(Data!$S$3&lt;Engine!P$1,0,Data!J38)</f>
        <v>Wests Tigers</v>
      </c>
      <c r="Q37" s="11" t="str">
        <f>IF(Data!B38=1,Data!K38,"No Tips")</f>
        <v>Sea Eagles</v>
      </c>
      <c r="R37" s="2">
        <f>Data!L38</f>
        <v>21</v>
      </c>
      <c r="S37" s="2">
        <f>Data!M38</f>
        <v>1103</v>
      </c>
      <c r="T37" s="1">
        <f>IF(I37="","",COUNTIF('Live Ladder'!P:P,I37)+COUNTIF('Live Ladder'!P:P,J37)+COUNTIF('Live Ladder'!P:P,K37)+COUNTIF('Live Ladder'!P:P,L37)+COUNTIF('Live Ladder'!P:P,M37)+COUNTIF('Live Ladder'!P:P,N37)+COUNTIF('Live Ladder'!P:P,O37)+COUNTIF('Live Ladder'!P:P,P37))</f>
        <v>0</v>
      </c>
      <c r="U37" s="1">
        <f>IF(I37="","",IF(COUNTIF('Live Ladder'!P:P,Engine!Q37)=1,2,IF(COUNTIF('Live Ladder'!Q:Q,Engine!Q37)=1,-2,0)))</f>
        <v>-2</v>
      </c>
      <c r="V37" s="1">
        <f>IF(I37="","",IF(T37=Data!S$3,2,0))</f>
        <v>0</v>
      </c>
      <c r="W37" s="1">
        <f t="shared" si="11"/>
        <v>-2</v>
      </c>
      <c r="X37" s="1">
        <f>IF(I37="",AE$2,IF(I37='Live Ladder'!B$4,'Live Ladder'!C$4,'Live Ladder'!D$4)+IF(J37='Live Ladder'!B$5,'Live Ladder'!C$5,'Live Ladder'!D$5)+IF(K37='Live Ladder'!B$6,'Live Ladder'!C$6,'Live Ladder'!D$6)+IF(L37='Live Ladder'!B$7,'Live Ladder'!C$7,'Live Ladder'!D$7)+IF(M37='Live Ladder'!B$8,'Live Ladder'!C$8,'Live Ladder'!D$8)+IF(N37='Live Ladder'!B$9,'Live Ladder'!C$9,'Live Ladder'!D$9)+IF(O37='Live Ladder'!B$10,'Live Ladder'!C$10,'Live Ladder'!D$10)+IF(P37='Live Ladder'!B$11,'Live Ladder'!C$11,'Live Ladder'!D$11))</f>
        <v>18</v>
      </c>
      <c r="Y37">
        <f t="shared" si="17"/>
        <v>19</v>
      </c>
      <c r="Z37">
        <f t="shared" si="12"/>
        <v>1121</v>
      </c>
      <c r="AA37" s="111">
        <f t="shared" si="13"/>
        <v>19.011210058</v>
      </c>
      <c r="AB37">
        <f t="shared" si="16"/>
        <v>-2</v>
      </c>
      <c r="AC37">
        <f>IF(I37="","",IF(I37='Live Ladder'!B$4,'Live Ladder'!C$4,'Live Ladder'!D$4)+IF(J37='Live Ladder'!B$5,'Live Ladder'!C$5,'Live Ladder'!D$5)+IF(K37='Live Ladder'!B$6,'Live Ladder'!C$6,'Live Ladder'!D$6)+IF(L37='Live Ladder'!B$7,'Live Ladder'!C$7,'Live Ladder'!D$7)+IF(M37='Live Ladder'!B$8,'Live Ladder'!C$8,'Live Ladder'!D$8)+IF(N37='Live Ladder'!B$9,'Live Ladder'!C$9,'Live Ladder'!D$9)+IF(O37='Live Ladder'!B$10,'Live Ladder'!C$10,'Live Ladder'!D$10)+IF(P37='Live Ladder'!B$11,'Live Ladder'!C$11,'Live Ladder'!D$11))</f>
        <v>18</v>
      </c>
      <c r="AF37">
        <f>IF(I37="","",IF(Q37="",0,IF(AND(Q37&gt;0,COUNTIF('Stats Calculator'!$T$24:$AA$24,Q37)=1),HLOOKUP(Q37,'Stats Calculator'!$T$24:$AA$27,4,FALSE),IF(AND(Q37&gt;0,COUNTIF('Stats Calculator'!$T$25:$AA$25,Q37)=1),HLOOKUP(Q37,'Stats Calculator'!$T$25:$AA$27,3,FALSE)))))</f>
        <v>1</v>
      </c>
      <c r="AG37">
        <f>IF(I37="","",COUNTIF(I37,'Stats Calculator'!E$31)+COUNTIF(J37,'Stats Calculator'!E$32)+COUNTIF(K37,'Stats Calculator'!E$33)+COUNTIF(L37,'Stats Calculator'!E$34)+COUNTIF(M37,'Stats Calculator'!E$35)+COUNTIF(N37,'Stats Calculator'!E$36)+COUNTIF(O37,'Stats Calculator'!E$37)+COUNTIF(P37,'Stats Calculator'!E$38)-8+Data!S$3)</f>
        <v>0</v>
      </c>
      <c r="AH37">
        <f>IF(I37="","",IF(Q37="",0,IF(Q37=0,0,IF(VLOOKUP(Engine!AF37,'Stats Calculator'!B$31:E$38,4,FALSE)="",0,IF(VLOOKUP(Engine!AF37,'Stats Calculator'!B$31:E$38,4,FALSE)=Q37,2,-2)))))</f>
        <v>-2</v>
      </c>
      <c r="AI37">
        <f>IF(I37="","",Data!S$3-COUNTA('Stats Calculator'!E$31:E$38))</f>
        <v>7</v>
      </c>
      <c r="AJ37">
        <f>IF(I37="","",IF(AF37=0,0,IF(VLOOKUP(AF37,'Stats Calculator'!B$31:E$38,4,FALSE)&gt;0,0,2)))</f>
        <v>0</v>
      </c>
      <c r="AK37">
        <f>IF(I37="","",IF(Data!S$3-Engine!AI37=AG37,2,0))</f>
        <v>0</v>
      </c>
      <c r="AL37">
        <f t="shared" si="14"/>
        <v>5</v>
      </c>
    </row>
    <row r="38" spans="1:38" x14ac:dyDescent="0.35">
      <c r="A38">
        <v>37</v>
      </c>
      <c r="B38">
        <f t="shared" si="18"/>
        <v>43</v>
      </c>
      <c r="C38" s="111">
        <f t="shared" si="8"/>
        <v>23.012130057</v>
      </c>
      <c r="D38">
        <f t="shared" si="19"/>
        <v>41</v>
      </c>
      <c r="E38" s="3" t="str">
        <f t="shared" si="9"/>
        <v>p</v>
      </c>
      <c r="F38">
        <f t="shared" si="10"/>
        <v>2</v>
      </c>
      <c r="G38">
        <v>57</v>
      </c>
      <c r="H38" t="str">
        <f>Data!A39</f>
        <v>Pablo</v>
      </c>
      <c r="I38" s="2" t="str">
        <f>Data!C39</f>
        <v>Dragons</v>
      </c>
      <c r="J38" s="2" t="str">
        <f>Data!D39</f>
        <v>Bulldogs</v>
      </c>
      <c r="K38" s="2" t="str">
        <f>Data!E39</f>
        <v>Storm</v>
      </c>
      <c r="L38" s="2" t="str">
        <f>IF(Data!$S$3&lt;Engine!L$1,0,Data!F39)</f>
        <v>Broncos</v>
      </c>
      <c r="M38" s="2" t="str">
        <f>IF(Data!$S$3&lt;Engine!M$1,0,Data!G39)</f>
        <v>Panthers</v>
      </c>
      <c r="N38" s="2" t="str">
        <f>IF(Data!$S$3&lt;Engine!N$1,0,Data!H39)</f>
        <v>Raiders</v>
      </c>
      <c r="O38" s="2" t="str">
        <f>IF(Data!$S$3&lt;Engine!O$1,0,Data!I39)</f>
        <v>Sharks</v>
      </c>
      <c r="P38" s="2" t="str">
        <f>IF(Data!$S$3&lt;Engine!P$1,0,Data!J39)</f>
        <v>Wests Tigers</v>
      </c>
      <c r="Q38" s="11" t="str">
        <f>IF(Data!B39=1,Data!K39,"No Tips")</f>
        <v>Storm</v>
      </c>
      <c r="R38" s="2">
        <f>Data!L39</f>
        <v>23</v>
      </c>
      <c r="S38" s="2">
        <f>Data!M39</f>
        <v>1213</v>
      </c>
      <c r="T38" s="1">
        <f>IF(I38="","",COUNTIF('Live Ladder'!P:P,I38)+COUNTIF('Live Ladder'!P:P,J38)+COUNTIF('Live Ladder'!P:P,K38)+COUNTIF('Live Ladder'!P:P,L38)+COUNTIF('Live Ladder'!P:P,M38)+COUNTIF('Live Ladder'!P:P,N38)+COUNTIF('Live Ladder'!P:P,O38)+COUNTIF('Live Ladder'!P:P,P38))</f>
        <v>1</v>
      </c>
      <c r="U38" s="1">
        <f>IF(I38="","",IF(COUNTIF('Live Ladder'!P:P,Engine!Q38)=1,2,IF(COUNTIF('Live Ladder'!Q:Q,Engine!Q38)=1,-2,0)))</f>
        <v>0</v>
      </c>
      <c r="V38" s="1">
        <f>IF(I38="","",IF(T38=Data!S$3,2,0))</f>
        <v>0</v>
      </c>
      <c r="W38" s="1">
        <f t="shared" si="11"/>
        <v>1</v>
      </c>
      <c r="X38" s="1">
        <f>IF(I38="",AE$2,IF(I38='Live Ladder'!B$4,'Live Ladder'!C$4,'Live Ladder'!D$4)+IF(J38='Live Ladder'!B$5,'Live Ladder'!C$5,'Live Ladder'!D$5)+IF(K38='Live Ladder'!B$6,'Live Ladder'!C$6,'Live Ladder'!D$6)+IF(L38='Live Ladder'!B$7,'Live Ladder'!C$7,'Live Ladder'!D$7)+IF(M38='Live Ladder'!B$8,'Live Ladder'!C$8,'Live Ladder'!D$8)+IF(N38='Live Ladder'!B$9,'Live Ladder'!C$9,'Live Ladder'!D$9)+IF(O38='Live Ladder'!B$10,'Live Ladder'!C$10,'Live Ladder'!D$10)+IF(P38='Live Ladder'!B$11,'Live Ladder'!C$11,'Live Ladder'!D$11))</f>
        <v>20</v>
      </c>
      <c r="Y38">
        <f t="shared" si="17"/>
        <v>24</v>
      </c>
      <c r="Z38">
        <f t="shared" si="12"/>
        <v>1233</v>
      </c>
      <c r="AA38" s="111">
        <f t="shared" si="13"/>
        <v>24.012330057</v>
      </c>
      <c r="AB38">
        <f t="shared" si="16"/>
        <v>1</v>
      </c>
      <c r="AC38">
        <f>IF(I38="","",IF(I38='Live Ladder'!B$4,'Live Ladder'!C$4,'Live Ladder'!D$4)+IF(J38='Live Ladder'!B$5,'Live Ladder'!C$5,'Live Ladder'!D$5)+IF(K38='Live Ladder'!B$6,'Live Ladder'!C$6,'Live Ladder'!D$6)+IF(L38='Live Ladder'!B$7,'Live Ladder'!C$7,'Live Ladder'!D$7)+IF(M38='Live Ladder'!B$8,'Live Ladder'!C$8,'Live Ladder'!D$8)+IF(N38='Live Ladder'!B$9,'Live Ladder'!C$9,'Live Ladder'!D$9)+IF(O38='Live Ladder'!B$10,'Live Ladder'!C$10,'Live Ladder'!D$10)+IF(P38='Live Ladder'!B$11,'Live Ladder'!C$11,'Live Ladder'!D$11))</f>
        <v>20</v>
      </c>
      <c r="AF38">
        <f>IF(I38="","",IF(Q38="",0,IF(AND(Q38&gt;0,COUNTIF('Stats Calculator'!$T$24:$AA$24,Q38)=1),HLOOKUP(Q38,'Stats Calculator'!$T$24:$AA$27,4,FALSE),IF(AND(Q38&gt;0,COUNTIF('Stats Calculator'!$T$25:$AA$25,Q38)=1),HLOOKUP(Q38,'Stats Calculator'!$T$25:$AA$27,3,FALSE)))))</f>
        <v>3</v>
      </c>
      <c r="AG38">
        <f>IF(I38="","",COUNTIF(I38,'Stats Calculator'!E$31)+COUNTIF(J38,'Stats Calculator'!E$32)+COUNTIF(K38,'Stats Calculator'!E$33)+COUNTIF(L38,'Stats Calculator'!E$34)+COUNTIF(M38,'Stats Calculator'!E$35)+COUNTIF(N38,'Stats Calculator'!E$36)+COUNTIF(O38,'Stats Calculator'!E$37)+COUNTIF(P38,'Stats Calculator'!E$38)-8+Data!S$3)</f>
        <v>1</v>
      </c>
      <c r="AH38">
        <f>IF(I38="","",IF(Q38="",0,IF(Q38=0,0,IF(VLOOKUP(Engine!AF38,'Stats Calculator'!B$31:E$38,4,FALSE)="",0,IF(VLOOKUP(Engine!AF38,'Stats Calculator'!B$31:E$38,4,FALSE)=Q38,2,-2)))))</f>
        <v>0</v>
      </c>
      <c r="AI38">
        <f>IF(I38="","",Data!S$3-COUNTA('Stats Calculator'!E$31:E$38))</f>
        <v>7</v>
      </c>
      <c r="AJ38">
        <f>IF(I38="","",IF(AF38=0,0,IF(VLOOKUP(AF38,'Stats Calculator'!B$31:E$38,4,FALSE)&gt;0,0,2)))</f>
        <v>2</v>
      </c>
      <c r="AK38">
        <f>IF(I38="","",IF(Data!S$3-Engine!AI38=AG38,2,0))</f>
        <v>2</v>
      </c>
      <c r="AL38">
        <f t="shared" si="14"/>
        <v>12</v>
      </c>
    </row>
    <row r="39" spans="1:38" x14ac:dyDescent="0.35">
      <c r="A39">
        <v>38</v>
      </c>
      <c r="B39">
        <f t="shared" si="18"/>
        <v>11</v>
      </c>
      <c r="C39" s="111">
        <f t="shared" si="8"/>
        <v>32.011920056000001</v>
      </c>
      <c r="D39">
        <f t="shared" si="19"/>
        <v>11</v>
      </c>
      <c r="E39" s="3" t="str">
        <f t="shared" si="9"/>
        <v>u</v>
      </c>
      <c r="F39" t="str">
        <f t="shared" si="10"/>
        <v/>
      </c>
      <c r="G39">
        <v>56</v>
      </c>
      <c r="H39" t="str">
        <f>Data!A40</f>
        <v>Panthers29</v>
      </c>
      <c r="I39" s="2" t="str">
        <f>Data!C40</f>
        <v>Sea Eagles</v>
      </c>
      <c r="J39" s="2" t="str">
        <f>Data!D40</f>
        <v>Bulldogs</v>
      </c>
      <c r="K39" s="2" t="str">
        <f>Data!E40</f>
        <v>Storm</v>
      </c>
      <c r="L39" s="2" t="str">
        <f>IF(Data!$S$3&lt;Engine!L$1,0,Data!F40)</f>
        <v>Warriors</v>
      </c>
      <c r="M39" s="2" t="str">
        <f>IF(Data!$S$3&lt;Engine!M$1,0,Data!G40)</f>
        <v>Panthers</v>
      </c>
      <c r="N39" s="2" t="str">
        <f>IF(Data!$S$3&lt;Engine!N$1,0,Data!H40)</f>
        <v>Raiders</v>
      </c>
      <c r="O39" s="2" t="str">
        <f>IF(Data!$S$3&lt;Engine!O$1,0,Data!I40)</f>
        <v>Sharks</v>
      </c>
      <c r="P39" s="2" t="str">
        <f>IF(Data!$S$3&lt;Engine!P$1,0,Data!J40)</f>
        <v>Wests Tigers</v>
      </c>
      <c r="Q39" s="11" t="str">
        <f>IF(Data!B40=1,Data!K40,"No Tips")</f>
        <v>Storm</v>
      </c>
      <c r="R39" s="2">
        <f>Data!L40</f>
        <v>32</v>
      </c>
      <c r="S39" s="2">
        <f>Data!M40</f>
        <v>1192</v>
      </c>
      <c r="T39" s="1">
        <f>IF(I39="","",COUNTIF('Live Ladder'!P:P,I39)+COUNTIF('Live Ladder'!P:P,J39)+COUNTIF('Live Ladder'!P:P,K39)+COUNTIF('Live Ladder'!P:P,L39)+COUNTIF('Live Ladder'!P:P,M39)+COUNTIF('Live Ladder'!P:P,N39)+COUNTIF('Live Ladder'!P:P,O39)+COUNTIF('Live Ladder'!P:P,P39))</f>
        <v>0</v>
      </c>
      <c r="U39" s="1">
        <f>IF(I39="","",IF(COUNTIF('Live Ladder'!P:P,Engine!Q39)=1,2,IF(COUNTIF('Live Ladder'!Q:Q,Engine!Q39)=1,-2,0)))</f>
        <v>0</v>
      </c>
      <c r="V39" s="1">
        <f>IF(I39="","",IF(T39=Data!S$3,2,0))</f>
        <v>0</v>
      </c>
      <c r="W39" s="1">
        <f t="shared" si="11"/>
        <v>0</v>
      </c>
      <c r="X39" s="1">
        <f>IF(I39="",AE$2,IF(I39='Live Ladder'!B$4,'Live Ladder'!C$4,'Live Ladder'!D$4)+IF(J39='Live Ladder'!B$5,'Live Ladder'!C$5,'Live Ladder'!D$5)+IF(K39='Live Ladder'!B$6,'Live Ladder'!C$6,'Live Ladder'!D$6)+IF(L39='Live Ladder'!B$7,'Live Ladder'!C$7,'Live Ladder'!D$7)+IF(M39='Live Ladder'!B$8,'Live Ladder'!C$8,'Live Ladder'!D$8)+IF(N39='Live Ladder'!B$9,'Live Ladder'!C$9,'Live Ladder'!D$9)+IF(O39='Live Ladder'!B$10,'Live Ladder'!C$10,'Live Ladder'!D$10)+IF(P39='Live Ladder'!B$11,'Live Ladder'!C$11,'Live Ladder'!D$11))</f>
        <v>18</v>
      </c>
      <c r="Y39">
        <f t="shared" si="17"/>
        <v>32</v>
      </c>
      <c r="Z39">
        <f t="shared" si="12"/>
        <v>1210</v>
      </c>
      <c r="AA39" s="111">
        <f t="shared" si="13"/>
        <v>32.012100055999994</v>
      </c>
      <c r="AB39">
        <f t="shared" si="16"/>
        <v>0</v>
      </c>
      <c r="AC39">
        <f>IF(I39="","",IF(I39='Live Ladder'!B$4,'Live Ladder'!C$4,'Live Ladder'!D$4)+IF(J39='Live Ladder'!B$5,'Live Ladder'!C$5,'Live Ladder'!D$5)+IF(K39='Live Ladder'!B$6,'Live Ladder'!C$6,'Live Ladder'!D$6)+IF(L39='Live Ladder'!B$7,'Live Ladder'!C$7,'Live Ladder'!D$7)+IF(M39='Live Ladder'!B$8,'Live Ladder'!C$8,'Live Ladder'!D$8)+IF(N39='Live Ladder'!B$9,'Live Ladder'!C$9,'Live Ladder'!D$9)+IF(O39='Live Ladder'!B$10,'Live Ladder'!C$10,'Live Ladder'!D$10)+IF(P39='Live Ladder'!B$11,'Live Ladder'!C$11,'Live Ladder'!D$11))</f>
        <v>18</v>
      </c>
      <c r="AF39">
        <f>IF(I39="","",IF(Q39="",0,IF(AND(Q39&gt;0,COUNTIF('Stats Calculator'!$T$24:$AA$24,Q39)=1),HLOOKUP(Q39,'Stats Calculator'!$T$24:$AA$27,4,FALSE),IF(AND(Q39&gt;0,COUNTIF('Stats Calculator'!$T$25:$AA$25,Q39)=1),HLOOKUP(Q39,'Stats Calculator'!$T$25:$AA$27,3,FALSE)))))</f>
        <v>3</v>
      </c>
      <c r="AG39">
        <f>IF(I39="","",COUNTIF(I39,'Stats Calculator'!E$31)+COUNTIF(J39,'Stats Calculator'!E$32)+COUNTIF(K39,'Stats Calculator'!E$33)+COUNTIF(L39,'Stats Calculator'!E$34)+COUNTIF(M39,'Stats Calculator'!E$35)+COUNTIF(N39,'Stats Calculator'!E$36)+COUNTIF(O39,'Stats Calculator'!E$37)+COUNTIF(P39,'Stats Calculator'!E$38)-8+Data!S$3)</f>
        <v>0</v>
      </c>
      <c r="AH39">
        <f>IF(I39="","",IF(Q39="",0,IF(Q39=0,0,IF(VLOOKUP(Engine!AF39,'Stats Calculator'!B$31:E$38,4,FALSE)="",0,IF(VLOOKUP(Engine!AF39,'Stats Calculator'!B$31:E$38,4,FALSE)=Q39,2,-2)))))</f>
        <v>0</v>
      </c>
      <c r="AI39">
        <f>IF(I39="","",Data!S$3-COUNTA('Stats Calculator'!E$31:E$38))</f>
        <v>7</v>
      </c>
      <c r="AJ39">
        <f>IF(I39="","",IF(AF39=0,0,IF(VLOOKUP(AF39,'Stats Calculator'!B$31:E$38,4,FALSE)&gt;0,0,2)))</f>
        <v>2</v>
      </c>
      <c r="AK39">
        <f>IF(I39="","",IF(Data!S$3-Engine!AI39=AG39,2,0))</f>
        <v>0</v>
      </c>
      <c r="AL39">
        <f t="shared" si="14"/>
        <v>9</v>
      </c>
    </row>
    <row r="40" spans="1:38" x14ac:dyDescent="0.35">
      <c r="A40">
        <v>39</v>
      </c>
      <c r="B40">
        <f t="shared" si="18"/>
        <v>4</v>
      </c>
      <c r="C40" s="111">
        <f t="shared" si="8"/>
        <v>36.011860055</v>
      </c>
      <c r="D40">
        <f t="shared" si="19"/>
        <v>4</v>
      </c>
      <c r="E40" s="3" t="str">
        <f t="shared" si="9"/>
        <v>u</v>
      </c>
      <c r="F40" t="str">
        <f t="shared" si="10"/>
        <v/>
      </c>
      <c r="G40">
        <v>55</v>
      </c>
      <c r="H40" t="str">
        <f>Data!A41</f>
        <v>Robert Cook</v>
      </c>
      <c r="I40" s="2" t="str">
        <f>Data!C41</f>
        <v>Sea Eagles</v>
      </c>
      <c r="J40" s="2" t="str">
        <f>Data!D41</f>
        <v>Bulldogs</v>
      </c>
      <c r="K40" s="2" t="str">
        <f>Data!E41</f>
        <v>Storm</v>
      </c>
      <c r="L40" s="2" t="str">
        <f>IF(Data!$S$3&lt;Engine!L$1,0,Data!F41)</f>
        <v>Warriors</v>
      </c>
      <c r="M40" s="2" t="str">
        <f>IF(Data!$S$3&lt;Engine!M$1,0,Data!G41)</f>
        <v>Roosters</v>
      </c>
      <c r="N40" s="2" t="str">
        <f>IF(Data!$S$3&lt;Engine!N$1,0,Data!H41)</f>
        <v>Raiders</v>
      </c>
      <c r="O40" s="2" t="str">
        <f>IF(Data!$S$3&lt;Engine!O$1,0,Data!I41)</f>
        <v>Sharks</v>
      </c>
      <c r="P40" s="2" t="str">
        <f>IF(Data!$S$3&lt;Engine!P$1,0,Data!J41)</f>
        <v>Wests Tigers</v>
      </c>
      <c r="Q40" s="11" t="str">
        <f>IF(Data!B41=1,Data!K41,"No Tips")</f>
        <v>Storm</v>
      </c>
      <c r="R40" s="2">
        <f>Data!L41</f>
        <v>36</v>
      </c>
      <c r="S40" s="2">
        <f>Data!M41</f>
        <v>1186</v>
      </c>
      <c r="T40" s="1">
        <f>IF(I40="","",COUNTIF('Live Ladder'!P:P,I40)+COUNTIF('Live Ladder'!P:P,J40)+COUNTIF('Live Ladder'!P:P,K40)+COUNTIF('Live Ladder'!P:P,L40)+COUNTIF('Live Ladder'!P:P,M40)+COUNTIF('Live Ladder'!P:P,N40)+COUNTIF('Live Ladder'!P:P,O40)+COUNTIF('Live Ladder'!P:P,P40))</f>
        <v>0</v>
      </c>
      <c r="U40" s="1">
        <f>IF(I40="","",IF(COUNTIF('Live Ladder'!P:P,Engine!Q40)=1,2,IF(COUNTIF('Live Ladder'!Q:Q,Engine!Q40)=1,-2,0)))</f>
        <v>0</v>
      </c>
      <c r="V40" s="1">
        <f>IF(I40="","",IF(T40=Data!S$3,2,0))</f>
        <v>0</v>
      </c>
      <c r="W40" s="1">
        <f t="shared" si="11"/>
        <v>0</v>
      </c>
      <c r="X40" s="1">
        <f>IF(I40="",AE$2,IF(I40='Live Ladder'!B$4,'Live Ladder'!C$4,'Live Ladder'!D$4)+IF(J40='Live Ladder'!B$5,'Live Ladder'!C$5,'Live Ladder'!D$5)+IF(K40='Live Ladder'!B$6,'Live Ladder'!C$6,'Live Ladder'!D$6)+IF(L40='Live Ladder'!B$7,'Live Ladder'!C$7,'Live Ladder'!D$7)+IF(M40='Live Ladder'!B$8,'Live Ladder'!C$8,'Live Ladder'!D$8)+IF(N40='Live Ladder'!B$9,'Live Ladder'!C$9,'Live Ladder'!D$9)+IF(O40='Live Ladder'!B$10,'Live Ladder'!C$10,'Live Ladder'!D$10)+IF(P40='Live Ladder'!B$11,'Live Ladder'!C$11,'Live Ladder'!D$11))</f>
        <v>18</v>
      </c>
      <c r="Y40">
        <f t="shared" si="17"/>
        <v>36</v>
      </c>
      <c r="Z40">
        <f t="shared" si="12"/>
        <v>1204</v>
      </c>
      <c r="AA40" s="111">
        <f t="shared" si="13"/>
        <v>36.012040055</v>
      </c>
      <c r="AB40">
        <f t="shared" si="16"/>
        <v>0</v>
      </c>
      <c r="AC40">
        <f>IF(I40="","",IF(I40='Live Ladder'!B$4,'Live Ladder'!C$4,'Live Ladder'!D$4)+IF(J40='Live Ladder'!B$5,'Live Ladder'!C$5,'Live Ladder'!D$5)+IF(K40='Live Ladder'!B$6,'Live Ladder'!C$6,'Live Ladder'!D$6)+IF(L40='Live Ladder'!B$7,'Live Ladder'!C$7,'Live Ladder'!D$7)+IF(M40='Live Ladder'!B$8,'Live Ladder'!C$8,'Live Ladder'!D$8)+IF(N40='Live Ladder'!B$9,'Live Ladder'!C$9,'Live Ladder'!D$9)+IF(O40='Live Ladder'!B$10,'Live Ladder'!C$10,'Live Ladder'!D$10)+IF(P40='Live Ladder'!B$11,'Live Ladder'!C$11,'Live Ladder'!D$11))</f>
        <v>18</v>
      </c>
      <c r="AF40">
        <f>IF(I40="","",IF(Q40="",0,IF(AND(Q40&gt;0,COUNTIF('Stats Calculator'!$T$24:$AA$24,Q40)=1),HLOOKUP(Q40,'Stats Calculator'!$T$24:$AA$27,4,FALSE),IF(AND(Q40&gt;0,COUNTIF('Stats Calculator'!$T$25:$AA$25,Q40)=1),HLOOKUP(Q40,'Stats Calculator'!$T$25:$AA$27,3,FALSE)))))</f>
        <v>3</v>
      </c>
      <c r="AG40">
        <f>IF(I40="","",COUNTIF(I40,'Stats Calculator'!E$31)+COUNTIF(J40,'Stats Calculator'!E$32)+COUNTIF(K40,'Stats Calculator'!E$33)+COUNTIF(L40,'Stats Calculator'!E$34)+COUNTIF(M40,'Stats Calculator'!E$35)+COUNTIF(N40,'Stats Calculator'!E$36)+COUNTIF(O40,'Stats Calculator'!E$37)+COUNTIF(P40,'Stats Calculator'!E$38)-8+Data!S$3)</f>
        <v>0</v>
      </c>
      <c r="AH40">
        <f>IF(I40="","",IF(Q40="",0,IF(Q40=0,0,IF(VLOOKUP(Engine!AF40,'Stats Calculator'!B$31:E$38,4,FALSE)="",0,IF(VLOOKUP(Engine!AF40,'Stats Calculator'!B$31:E$38,4,FALSE)=Q40,2,-2)))))</f>
        <v>0</v>
      </c>
      <c r="AI40">
        <f>IF(I40="","",Data!S$3-COUNTA('Stats Calculator'!E$31:E$38))</f>
        <v>7</v>
      </c>
      <c r="AJ40">
        <f>IF(I40="","",IF(AF40=0,0,IF(VLOOKUP(AF40,'Stats Calculator'!B$31:E$38,4,FALSE)&gt;0,0,2)))</f>
        <v>2</v>
      </c>
      <c r="AK40">
        <f>IF(I40="","",IF(Data!S$3-Engine!AI40=AG40,2,0))</f>
        <v>0</v>
      </c>
      <c r="AL40">
        <f t="shared" si="14"/>
        <v>9</v>
      </c>
    </row>
    <row r="41" spans="1:38" x14ac:dyDescent="0.35">
      <c r="A41">
        <v>40</v>
      </c>
      <c r="B41">
        <f t="shared" si="18"/>
        <v>3</v>
      </c>
      <c r="C41" s="111">
        <f t="shared" si="8"/>
        <v>38.012190053999994</v>
      </c>
      <c r="D41">
        <f t="shared" si="19"/>
        <v>3</v>
      </c>
      <c r="E41" s="3" t="str">
        <f t="shared" si="9"/>
        <v>u</v>
      </c>
      <c r="F41" t="str">
        <f t="shared" si="10"/>
        <v/>
      </c>
      <c r="G41">
        <v>54</v>
      </c>
      <c r="H41" t="str">
        <f>Data!A42</f>
        <v>Rossco the Pom</v>
      </c>
      <c r="I41" s="2" t="str">
        <f>Data!C42</f>
        <v>Sea Eagles</v>
      </c>
      <c r="J41" s="2" t="str">
        <f>Data!D42</f>
        <v>Bulldogs</v>
      </c>
      <c r="K41" s="2" t="str">
        <f>Data!E42</f>
        <v>Storm</v>
      </c>
      <c r="L41" s="2" t="str">
        <f>IF(Data!$S$3&lt;Engine!L$1,0,Data!F42)</f>
        <v>Broncos</v>
      </c>
      <c r="M41" s="2" t="str">
        <f>IF(Data!$S$3&lt;Engine!M$1,0,Data!G42)</f>
        <v>Roosters</v>
      </c>
      <c r="N41" s="2" t="str">
        <f>IF(Data!$S$3&lt;Engine!N$1,0,Data!H42)</f>
        <v>Titans</v>
      </c>
      <c r="O41" s="2" t="str">
        <f>IF(Data!$S$3&lt;Engine!O$1,0,Data!I42)</f>
        <v>Sharks</v>
      </c>
      <c r="P41" s="2" t="str">
        <f>IF(Data!$S$3&lt;Engine!P$1,0,Data!J42)</f>
        <v>Wests Tigers</v>
      </c>
      <c r="Q41" s="11" t="str">
        <f>IF(Data!B42=1,Data!K42,"No Tips")</f>
        <v>Bulldogs</v>
      </c>
      <c r="R41" s="2">
        <f>Data!L42</f>
        <v>38</v>
      </c>
      <c r="S41" s="2">
        <f>Data!M42</f>
        <v>1219</v>
      </c>
      <c r="T41" s="1">
        <f>IF(I41="","",COUNTIF('Live Ladder'!P:P,I41)+COUNTIF('Live Ladder'!P:P,J41)+COUNTIF('Live Ladder'!P:P,K41)+COUNTIF('Live Ladder'!P:P,L41)+COUNTIF('Live Ladder'!P:P,M41)+COUNTIF('Live Ladder'!P:P,N41)+COUNTIF('Live Ladder'!P:P,O41)+COUNTIF('Live Ladder'!P:P,P41))</f>
        <v>0</v>
      </c>
      <c r="U41" s="1">
        <f>IF(I41="","",IF(COUNTIF('Live Ladder'!P:P,Engine!Q41)=1,2,IF(COUNTIF('Live Ladder'!Q:Q,Engine!Q41)=1,-2,0)))</f>
        <v>0</v>
      </c>
      <c r="V41" s="1">
        <f>IF(I41="","",IF(T41=Data!S$3,2,0))</f>
        <v>0</v>
      </c>
      <c r="W41" s="1">
        <f t="shared" si="11"/>
        <v>0</v>
      </c>
      <c r="X41" s="1">
        <f>IF(I41="",AE$2,IF(I41='Live Ladder'!B$4,'Live Ladder'!C$4,'Live Ladder'!D$4)+IF(J41='Live Ladder'!B$5,'Live Ladder'!C$5,'Live Ladder'!D$5)+IF(K41='Live Ladder'!B$6,'Live Ladder'!C$6,'Live Ladder'!D$6)+IF(L41='Live Ladder'!B$7,'Live Ladder'!C$7,'Live Ladder'!D$7)+IF(M41='Live Ladder'!B$8,'Live Ladder'!C$8,'Live Ladder'!D$8)+IF(N41='Live Ladder'!B$9,'Live Ladder'!C$9,'Live Ladder'!D$9)+IF(O41='Live Ladder'!B$10,'Live Ladder'!C$10,'Live Ladder'!D$10)+IF(P41='Live Ladder'!B$11,'Live Ladder'!C$11,'Live Ladder'!D$11))</f>
        <v>18</v>
      </c>
      <c r="Y41">
        <f t="shared" si="17"/>
        <v>38</v>
      </c>
      <c r="Z41">
        <f t="shared" si="12"/>
        <v>1237</v>
      </c>
      <c r="AA41" s="111">
        <f t="shared" si="13"/>
        <v>38.012370053999994</v>
      </c>
      <c r="AB41">
        <f t="shared" si="16"/>
        <v>0</v>
      </c>
      <c r="AC41">
        <f>IF(I41="","",IF(I41='Live Ladder'!B$4,'Live Ladder'!C$4,'Live Ladder'!D$4)+IF(J41='Live Ladder'!B$5,'Live Ladder'!C$5,'Live Ladder'!D$5)+IF(K41='Live Ladder'!B$6,'Live Ladder'!C$6,'Live Ladder'!D$6)+IF(L41='Live Ladder'!B$7,'Live Ladder'!C$7,'Live Ladder'!D$7)+IF(M41='Live Ladder'!B$8,'Live Ladder'!C$8,'Live Ladder'!D$8)+IF(N41='Live Ladder'!B$9,'Live Ladder'!C$9,'Live Ladder'!D$9)+IF(O41='Live Ladder'!B$10,'Live Ladder'!C$10,'Live Ladder'!D$10)+IF(P41='Live Ladder'!B$11,'Live Ladder'!C$11,'Live Ladder'!D$11))</f>
        <v>18</v>
      </c>
      <c r="AF41">
        <f>IF(I41="","",IF(Q41="",0,IF(AND(Q41&gt;0,COUNTIF('Stats Calculator'!$T$24:$AA$24,Q41)=1),HLOOKUP(Q41,'Stats Calculator'!$T$24:$AA$27,4,FALSE),IF(AND(Q41&gt;0,COUNTIF('Stats Calculator'!$T$25:$AA$25,Q41)=1),HLOOKUP(Q41,'Stats Calculator'!$T$25:$AA$27,3,FALSE)))))</f>
        <v>2</v>
      </c>
      <c r="AG41">
        <f>IF(I41="","",COUNTIF(I41,'Stats Calculator'!E$31)+COUNTIF(J41,'Stats Calculator'!E$32)+COUNTIF(K41,'Stats Calculator'!E$33)+COUNTIF(L41,'Stats Calculator'!E$34)+COUNTIF(M41,'Stats Calculator'!E$35)+COUNTIF(N41,'Stats Calculator'!E$36)+COUNTIF(O41,'Stats Calculator'!E$37)+COUNTIF(P41,'Stats Calculator'!E$38)-8+Data!S$3)</f>
        <v>0</v>
      </c>
      <c r="AH41">
        <f>IF(I41="","",IF(Q41="",0,IF(Q41=0,0,IF(VLOOKUP(Engine!AF41,'Stats Calculator'!B$31:E$38,4,FALSE)="",0,IF(VLOOKUP(Engine!AF41,'Stats Calculator'!B$31:E$38,4,FALSE)=Q41,2,-2)))))</f>
        <v>0</v>
      </c>
      <c r="AI41">
        <f>IF(I41="","",Data!S$3-COUNTA('Stats Calculator'!E$31:E$38))</f>
        <v>7</v>
      </c>
      <c r="AJ41">
        <f>IF(I41="","",IF(AF41=0,0,IF(VLOOKUP(AF41,'Stats Calculator'!B$31:E$38,4,FALSE)&gt;0,0,2)))</f>
        <v>2</v>
      </c>
      <c r="AK41">
        <f>IF(I41="","",IF(Data!S$3-Engine!AI41=AG41,2,0))</f>
        <v>0</v>
      </c>
      <c r="AL41">
        <f t="shared" si="14"/>
        <v>9</v>
      </c>
    </row>
    <row r="42" spans="1:38" x14ac:dyDescent="0.35">
      <c r="A42">
        <v>41</v>
      </c>
      <c r="B42">
        <f t="shared" si="18"/>
        <v>29</v>
      </c>
      <c r="C42" s="111">
        <f t="shared" si="8"/>
        <v>28.011630053000001</v>
      </c>
      <c r="D42">
        <f t="shared" si="19"/>
        <v>35</v>
      </c>
      <c r="E42" s="3" t="str">
        <f t="shared" si="9"/>
        <v>q</v>
      </c>
      <c r="F42">
        <f t="shared" si="10"/>
        <v>6</v>
      </c>
      <c r="G42">
        <v>53</v>
      </c>
      <c r="H42" t="str">
        <f>Data!A43</f>
        <v>Runner</v>
      </c>
      <c r="I42" s="2" t="str">
        <f>Data!C43</f>
        <v>Sea Eagles</v>
      </c>
      <c r="J42" s="2" t="str">
        <f>Data!D43</f>
        <v>Bulldogs</v>
      </c>
      <c r="K42" s="2" t="str">
        <f>Data!E43</f>
        <v>Storm</v>
      </c>
      <c r="L42" s="2" t="str">
        <f>IF(Data!$S$3&lt;Engine!L$1,0,Data!F43)</f>
        <v>Broncos</v>
      </c>
      <c r="M42" s="2" t="str">
        <f>IF(Data!$S$3&lt;Engine!M$1,0,Data!G43)</f>
        <v>Panthers</v>
      </c>
      <c r="N42" s="2" t="str">
        <f>IF(Data!$S$3&lt;Engine!N$1,0,Data!H43)</f>
        <v>Raiders</v>
      </c>
      <c r="O42" s="2" t="str">
        <f>IF(Data!$S$3&lt;Engine!O$1,0,Data!I43)</f>
        <v>Sharks</v>
      </c>
      <c r="P42" s="2" t="str">
        <f>IF(Data!$S$3&lt;Engine!P$1,0,Data!J43)</f>
        <v>Wests Tigers</v>
      </c>
      <c r="Q42" s="11" t="str">
        <f>IF(Data!B43=1,Data!K43,"No Tips")</f>
        <v>Sea Eagles</v>
      </c>
      <c r="R42" s="2">
        <f>Data!L43</f>
        <v>28</v>
      </c>
      <c r="S42" s="2">
        <f>Data!M43</f>
        <v>1163</v>
      </c>
      <c r="T42" s="1">
        <f>IF(I42="","",COUNTIF('Live Ladder'!P:P,I42)+COUNTIF('Live Ladder'!P:P,J42)+COUNTIF('Live Ladder'!P:P,K42)+COUNTIF('Live Ladder'!P:P,L42)+COUNTIF('Live Ladder'!P:P,M42)+COUNTIF('Live Ladder'!P:P,N42)+COUNTIF('Live Ladder'!P:P,O42)+COUNTIF('Live Ladder'!P:P,P42))</f>
        <v>0</v>
      </c>
      <c r="U42" s="1">
        <f>IF(I42="","",IF(COUNTIF('Live Ladder'!P:P,Engine!Q42)=1,2,IF(COUNTIF('Live Ladder'!Q:Q,Engine!Q42)=1,-2,0)))</f>
        <v>-2</v>
      </c>
      <c r="V42" s="1">
        <f>IF(I42="","",IF(T42=Data!S$3,2,0))</f>
        <v>0</v>
      </c>
      <c r="W42" s="1">
        <f t="shared" si="11"/>
        <v>-2</v>
      </c>
      <c r="X42" s="1">
        <f>IF(I42="",AE$2,IF(I42='Live Ladder'!B$4,'Live Ladder'!C$4,'Live Ladder'!D$4)+IF(J42='Live Ladder'!B$5,'Live Ladder'!C$5,'Live Ladder'!D$5)+IF(K42='Live Ladder'!B$6,'Live Ladder'!C$6,'Live Ladder'!D$6)+IF(L42='Live Ladder'!B$7,'Live Ladder'!C$7,'Live Ladder'!D$7)+IF(M42='Live Ladder'!B$8,'Live Ladder'!C$8,'Live Ladder'!D$8)+IF(N42='Live Ladder'!B$9,'Live Ladder'!C$9,'Live Ladder'!D$9)+IF(O42='Live Ladder'!B$10,'Live Ladder'!C$10,'Live Ladder'!D$10)+IF(P42='Live Ladder'!B$11,'Live Ladder'!C$11,'Live Ladder'!D$11))</f>
        <v>18</v>
      </c>
      <c r="Y42">
        <f t="shared" si="17"/>
        <v>26</v>
      </c>
      <c r="Z42">
        <f t="shared" si="12"/>
        <v>1181</v>
      </c>
      <c r="AA42" s="111">
        <f t="shared" si="13"/>
        <v>26.011810053000001</v>
      </c>
      <c r="AB42">
        <f t="shared" si="16"/>
        <v>-2</v>
      </c>
      <c r="AC42">
        <f>IF(I42="","",IF(I42='Live Ladder'!B$4,'Live Ladder'!C$4,'Live Ladder'!D$4)+IF(J42='Live Ladder'!B$5,'Live Ladder'!C$5,'Live Ladder'!D$5)+IF(K42='Live Ladder'!B$6,'Live Ladder'!C$6,'Live Ladder'!D$6)+IF(L42='Live Ladder'!B$7,'Live Ladder'!C$7,'Live Ladder'!D$7)+IF(M42='Live Ladder'!B$8,'Live Ladder'!C$8,'Live Ladder'!D$8)+IF(N42='Live Ladder'!B$9,'Live Ladder'!C$9,'Live Ladder'!D$9)+IF(O42='Live Ladder'!B$10,'Live Ladder'!C$10,'Live Ladder'!D$10)+IF(P42='Live Ladder'!B$11,'Live Ladder'!C$11,'Live Ladder'!D$11))</f>
        <v>18</v>
      </c>
      <c r="AF42">
        <f>IF(I42="","",IF(Q42="",0,IF(AND(Q42&gt;0,COUNTIF('Stats Calculator'!$T$24:$AA$24,Q42)=1),HLOOKUP(Q42,'Stats Calculator'!$T$24:$AA$27,4,FALSE),IF(AND(Q42&gt;0,COUNTIF('Stats Calculator'!$T$25:$AA$25,Q42)=1),HLOOKUP(Q42,'Stats Calculator'!$T$25:$AA$27,3,FALSE)))))</f>
        <v>1</v>
      </c>
      <c r="AG42">
        <f>IF(I42="","",COUNTIF(I42,'Stats Calculator'!E$31)+COUNTIF(J42,'Stats Calculator'!E$32)+COUNTIF(K42,'Stats Calculator'!E$33)+COUNTIF(L42,'Stats Calculator'!E$34)+COUNTIF(M42,'Stats Calculator'!E$35)+COUNTIF(N42,'Stats Calculator'!E$36)+COUNTIF(O42,'Stats Calculator'!E$37)+COUNTIF(P42,'Stats Calculator'!E$38)-8+Data!S$3)</f>
        <v>0</v>
      </c>
      <c r="AH42">
        <f>IF(I42="","",IF(Q42="",0,IF(Q42=0,0,IF(VLOOKUP(Engine!AF42,'Stats Calculator'!B$31:E$38,4,FALSE)="",0,IF(VLOOKUP(Engine!AF42,'Stats Calculator'!B$31:E$38,4,FALSE)=Q42,2,-2)))))</f>
        <v>-2</v>
      </c>
      <c r="AI42">
        <f>IF(I42="","",Data!S$3-COUNTA('Stats Calculator'!E$31:E$38))</f>
        <v>7</v>
      </c>
      <c r="AJ42">
        <f>IF(I42="","",IF(AF42=0,0,IF(VLOOKUP(AF42,'Stats Calculator'!B$31:E$38,4,FALSE)&gt;0,0,2)))</f>
        <v>0</v>
      </c>
      <c r="AK42">
        <f>IF(I42="","",IF(Data!S$3-Engine!AI42=AG42,2,0))</f>
        <v>0</v>
      </c>
      <c r="AL42">
        <f t="shared" si="14"/>
        <v>5</v>
      </c>
    </row>
    <row r="43" spans="1:38" x14ac:dyDescent="0.35">
      <c r="A43">
        <v>42</v>
      </c>
      <c r="B43">
        <f t="shared" si="18"/>
        <v>5</v>
      </c>
      <c r="C43" s="111">
        <f t="shared" si="8"/>
        <v>35.011970051999995</v>
      </c>
      <c r="D43">
        <f t="shared" si="19"/>
        <v>5</v>
      </c>
      <c r="E43" s="3" t="str">
        <f t="shared" si="9"/>
        <v>u</v>
      </c>
      <c r="F43" t="str">
        <f t="shared" si="10"/>
        <v/>
      </c>
      <c r="G43">
        <v>52</v>
      </c>
      <c r="H43" t="str">
        <f>Data!A44</f>
        <v>Seano</v>
      </c>
      <c r="I43" s="2" t="str">
        <f>Data!C44</f>
        <v>Sea Eagles</v>
      </c>
      <c r="J43" s="2" t="str">
        <f>Data!D44</f>
        <v>Bulldogs</v>
      </c>
      <c r="K43" s="2" t="str">
        <f>Data!E44</f>
        <v>Storm</v>
      </c>
      <c r="L43" s="2" t="str">
        <f>IF(Data!$S$3&lt;Engine!L$1,0,Data!F44)</f>
        <v>Warriors</v>
      </c>
      <c r="M43" s="2" t="str">
        <f>IF(Data!$S$3&lt;Engine!M$1,0,Data!G44)</f>
        <v>Panthers</v>
      </c>
      <c r="N43" s="2" t="str">
        <f>IF(Data!$S$3&lt;Engine!N$1,0,Data!H44)</f>
        <v>Raiders</v>
      </c>
      <c r="O43" s="2" t="str">
        <f>IF(Data!$S$3&lt;Engine!O$1,0,Data!I44)</f>
        <v>Sharks</v>
      </c>
      <c r="P43" s="2" t="str">
        <f>IF(Data!$S$3&lt;Engine!P$1,0,Data!J44)</f>
        <v>Wests Tigers</v>
      </c>
      <c r="Q43" s="11" t="str">
        <f>IF(Data!B44=1,Data!K44,"No Tips")</f>
        <v>Storm</v>
      </c>
      <c r="R43" s="2">
        <f>Data!L44</f>
        <v>35</v>
      </c>
      <c r="S43" s="2">
        <f>Data!M44</f>
        <v>1197</v>
      </c>
      <c r="T43" s="1">
        <f>IF(I43="","",COUNTIF('Live Ladder'!P:P,I43)+COUNTIF('Live Ladder'!P:P,J43)+COUNTIF('Live Ladder'!P:P,K43)+COUNTIF('Live Ladder'!P:P,L43)+COUNTIF('Live Ladder'!P:P,M43)+COUNTIF('Live Ladder'!P:P,N43)+COUNTIF('Live Ladder'!P:P,O43)+COUNTIF('Live Ladder'!P:P,P43))</f>
        <v>0</v>
      </c>
      <c r="U43" s="1">
        <f>IF(I43="","",IF(COUNTIF('Live Ladder'!P:P,Engine!Q43)=1,2,IF(COUNTIF('Live Ladder'!Q:Q,Engine!Q43)=1,-2,0)))</f>
        <v>0</v>
      </c>
      <c r="V43" s="1">
        <f>IF(I43="","",IF(T43=Data!S$3,2,0))</f>
        <v>0</v>
      </c>
      <c r="W43" s="1">
        <f t="shared" si="11"/>
        <v>0</v>
      </c>
      <c r="X43" s="1">
        <f>IF(I43="",AE$2,IF(I43='Live Ladder'!B$4,'Live Ladder'!C$4,'Live Ladder'!D$4)+IF(J43='Live Ladder'!B$5,'Live Ladder'!C$5,'Live Ladder'!D$5)+IF(K43='Live Ladder'!B$6,'Live Ladder'!C$6,'Live Ladder'!D$6)+IF(L43='Live Ladder'!B$7,'Live Ladder'!C$7,'Live Ladder'!D$7)+IF(M43='Live Ladder'!B$8,'Live Ladder'!C$8,'Live Ladder'!D$8)+IF(N43='Live Ladder'!B$9,'Live Ladder'!C$9,'Live Ladder'!D$9)+IF(O43='Live Ladder'!B$10,'Live Ladder'!C$10,'Live Ladder'!D$10)+IF(P43='Live Ladder'!B$11,'Live Ladder'!C$11,'Live Ladder'!D$11))</f>
        <v>18</v>
      </c>
      <c r="Y43">
        <f t="shared" si="17"/>
        <v>35</v>
      </c>
      <c r="Z43">
        <f t="shared" si="12"/>
        <v>1215</v>
      </c>
      <c r="AA43" s="111">
        <f t="shared" si="13"/>
        <v>35.012150051999996</v>
      </c>
      <c r="AB43">
        <f t="shared" si="16"/>
        <v>0</v>
      </c>
      <c r="AC43">
        <f>IF(I43="","",IF(I43='Live Ladder'!B$4,'Live Ladder'!C$4,'Live Ladder'!D$4)+IF(J43='Live Ladder'!B$5,'Live Ladder'!C$5,'Live Ladder'!D$5)+IF(K43='Live Ladder'!B$6,'Live Ladder'!C$6,'Live Ladder'!D$6)+IF(L43='Live Ladder'!B$7,'Live Ladder'!C$7,'Live Ladder'!D$7)+IF(M43='Live Ladder'!B$8,'Live Ladder'!C$8,'Live Ladder'!D$8)+IF(N43='Live Ladder'!B$9,'Live Ladder'!C$9,'Live Ladder'!D$9)+IF(O43='Live Ladder'!B$10,'Live Ladder'!C$10,'Live Ladder'!D$10)+IF(P43='Live Ladder'!B$11,'Live Ladder'!C$11,'Live Ladder'!D$11))</f>
        <v>18</v>
      </c>
      <c r="AF43">
        <f>IF(I43="","",IF(Q43="",0,IF(AND(Q43&gt;0,COUNTIF('Stats Calculator'!$T$24:$AA$24,Q43)=1),HLOOKUP(Q43,'Stats Calculator'!$T$24:$AA$27,4,FALSE),IF(AND(Q43&gt;0,COUNTIF('Stats Calculator'!$T$25:$AA$25,Q43)=1),HLOOKUP(Q43,'Stats Calculator'!$T$25:$AA$27,3,FALSE)))))</f>
        <v>3</v>
      </c>
      <c r="AG43">
        <f>IF(I43="","",COUNTIF(I43,'Stats Calculator'!E$31)+COUNTIF(J43,'Stats Calculator'!E$32)+COUNTIF(K43,'Stats Calculator'!E$33)+COUNTIF(L43,'Stats Calculator'!E$34)+COUNTIF(M43,'Stats Calculator'!E$35)+COUNTIF(N43,'Stats Calculator'!E$36)+COUNTIF(O43,'Stats Calculator'!E$37)+COUNTIF(P43,'Stats Calculator'!E$38)-8+Data!S$3)</f>
        <v>0</v>
      </c>
      <c r="AH43">
        <f>IF(I43="","",IF(Q43="",0,IF(Q43=0,0,IF(VLOOKUP(Engine!AF43,'Stats Calculator'!B$31:E$38,4,FALSE)="",0,IF(VLOOKUP(Engine!AF43,'Stats Calculator'!B$31:E$38,4,FALSE)=Q43,2,-2)))))</f>
        <v>0</v>
      </c>
      <c r="AI43">
        <f>IF(I43="","",Data!S$3-COUNTA('Stats Calculator'!E$31:E$38))</f>
        <v>7</v>
      </c>
      <c r="AJ43">
        <f>IF(I43="","",IF(AF43=0,0,IF(VLOOKUP(AF43,'Stats Calculator'!B$31:E$38,4,FALSE)&gt;0,0,2)))</f>
        <v>2</v>
      </c>
      <c r="AK43">
        <f>IF(I43="","",IF(Data!S$3-Engine!AI43=AG43,2,0))</f>
        <v>0</v>
      </c>
      <c r="AL43">
        <f t="shared" si="14"/>
        <v>9</v>
      </c>
    </row>
    <row r="44" spans="1:38" x14ac:dyDescent="0.35">
      <c r="A44">
        <v>43</v>
      </c>
      <c r="B44">
        <f t="shared" si="18"/>
        <v>51</v>
      </c>
      <c r="C44" s="111">
        <f t="shared" si="8"/>
        <v>20.011410051000002</v>
      </c>
      <c r="D44">
        <f t="shared" si="19"/>
        <v>53</v>
      </c>
      <c r="E44" s="3" t="str">
        <f t="shared" si="9"/>
        <v>q</v>
      </c>
      <c r="F44">
        <f t="shared" si="10"/>
        <v>2</v>
      </c>
      <c r="G44">
        <v>51</v>
      </c>
      <c r="H44" t="str">
        <f>Data!A45</f>
        <v>Shagger</v>
      </c>
      <c r="I44" s="2" t="str">
        <f>Data!C45</f>
        <v>Sea Eagles</v>
      </c>
      <c r="J44" s="2" t="str">
        <f>Data!D45</f>
        <v>Bulldogs</v>
      </c>
      <c r="K44" s="2" t="str">
        <f>Data!E45</f>
        <v>Storm</v>
      </c>
      <c r="L44" s="2" t="str">
        <f>IF(Data!$S$3&lt;Engine!L$1,0,Data!F45)</f>
        <v>Broncos</v>
      </c>
      <c r="M44" s="2" t="str">
        <f>IF(Data!$S$3&lt;Engine!M$1,0,Data!G45)</f>
        <v>Panthers</v>
      </c>
      <c r="N44" s="2" t="str">
        <f>IF(Data!$S$3&lt;Engine!N$1,0,Data!H45)</f>
        <v>Raiders</v>
      </c>
      <c r="O44" s="2" t="str">
        <f>IF(Data!$S$3&lt;Engine!O$1,0,Data!I45)</f>
        <v>Sharks</v>
      </c>
      <c r="P44" s="2" t="str">
        <f>IF(Data!$S$3&lt;Engine!P$1,0,Data!J45)</f>
        <v>Wests Tigers</v>
      </c>
      <c r="Q44" s="11" t="str">
        <f>IF(Data!B45=1,Data!K45,"No Tips")</f>
        <v>Wests Tigers</v>
      </c>
      <c r="R44" s="2">
        <f>Data!L45</f>
        <v>20</v>
      </c>
      <c r="S44" s="2">
        <f>Data!M45</f>
        <v>1141</v>
      </c>
      <c r="T44" s="1">
        <f>IF(I44="","",COUNTIF('Live Ladder'!P:P,I44)+COUNTIF('Live Ladder'!P:P,J44)+COUNTIF('Live Ladder'!P:P,K44)+COUNTIF('Live Ladder'!P:P,L44)+COUNTIF('Live Ladder'!P:P,M44)+COUNTIF('Live Ladder'!P:P,N44)+COUNTIF('Live Ladder'!P:P,O44)+COUNTIF('Live Ladder'!P:P,P44))</f>
        <v>0</v>
      </c>
      <c r="U44" s="1">
        <f>IF(I44="","",IF(COUNTIF('Live Ladder'!P:P,Engine!Q44)=1,2,IF(COUNTIF('Live Ladder'!Q:Q,Engine!Q44)=1,-2,0)))</f>
        <v>0</v>
      </c>
      <c r="V44" s="1">
        <f>IF(I44="","",IF(T44=Data!S$3,2,0))</f>
        <v>0</v>
      </c>
      <c r="W44" s="1">
        <f t="shared" si="11"/>
        <v>0</v>
      </c>
      <c r="X44" s="1">
        <f>IF(I44="",AE$2,IF(I44='Live Ladder'!B$4,'Live Ladder'!C$4,'Live Ladder'!D$4)+IF(J44='Live Ladder'!B$5,'Live Ladder'!C$5,'Live Ladder'!D$5)+IF(K44='Live Ladder'!B$6,'Live Ladder'!C$6,'Live Ladder'!D$6)+IF(L44='Live Ladder'!B$7,'Live Ladder'!C$7,'Live Ladder'!D$7)+IF(M44='Live Ladder'!B$8,'Live Ladder'!C$8,'Live Ladder'!D$8)+IF(N44='Live Ladder'!B$9,'Live Ladder'!C$9,'Live Ladder'!D$9)+IF(O44='Live Ladder'!B$10,'Live Ladder'!C$10,'Live Ladder'!D$10)+IF(P44='Live Ladder'!B$11,'Live Ladder'!C$11,'Live Ladder'!D$11))</f>
        <v>18</v>
      </c>
      <c r="Y44">
        <f t="shared" si="17"/>
        <v>20</v>
      </c>
      <c r="Z44">
        <f t="shared" si="12"/>
        <v>1159</v>
      </c>
      <c r="AA44" s="111">
        <f t="shared" si="13"/>
        <v>20.011590051000002</v>
      </c>
      <c r="AB44">
        <f t="shared" si="16"/>
        <v>0</v>
      </c>
      <c r="AC44">
        <f>IF(I44="","",IF(I44='Live Ladder'!B$4,'Live Ladder'!C$4,'Live Ladder'!D$4)+IF(J44='Live Ladder'!B$5,'Live Ladder'!C$5,'Live Ladder'!D$5)+IF(K44='Live Ladder'!B$6,'Live Ladder'!C$6,'Live Ladder'!D$6)+IF(L44='Live Ladder'!B$7,'Live Ladder'!C$7,'Live Ladder'!D$7)+IF(M44='Live Ladder'!B$8,'Live Ladder'!C$8,'Live Ladder'!D$8)+IF(N44='Live Ladder'!B$9,'Live Ladder'!C$9,'Live Ladder'!D$9)+IF(O44='Live Ladder'!B$10,'Live Ladder'!C$10,'Live Ladder'!D$10)+IF(P44='Live Ladder'!B$11,'Live Ladder'!C$11,'Live Ladder'!D$11))</f>
        <v>18</v>
      </c>
      <c r="AF44">
        <f>IF(I44="","",IF(Q44="",0,IF(AND(Q44&gt;0,COUNTIF('Stats Calculator'!$T$24:$AA$24,Q44)=1),HLOOKUP(Q44,'Stats Calculator'!$T$24:$AA$27,4,FALSE),IF(AND(Q44&gt;0,COUNTIF('Stats Calculator'!$T$25:$AA$25,Q44)=1),HLOOKUP(Q44,'Stats Calculator'!$T$25:$AA$27,3,FALSE)))))</f>
        <v>8</v>
      </c>
      <c r="AG44">
        <f>IF(I44="","",COUNTIF(I44,'Stats Calculator'!E$31)+COUNTIF(J44,'Stats Calculator'!E$32)+COUNTIF(K44,'Stats Calculator'!E$33)+COUNTIF(L44,'Stats Calculator'!E$34)+COUNTIF(M44,'Stats Calculator'!E$35)+COUNTIF(N44,'Stats Calculator'!E$36)+COUNTIF(O44,'Stats Calculator'!E$37)+COUNTIF(P44,'Stats Calculator'!E$38)-8+Data!S$3)</f>
        <v>0</v>
      </c>
      <c r="AH44">
        <f>IF(I44="","",IF(Q44="",0,IF(Q44=0,0,IF(VLOOKUP(Engine!AF44,'Stats Calculator'!B$31:E$38,4,FALSE)="",0,IF(VLOOKUP(Engine!AF44,'Stats Calculator'!B$31:E$38,4,FALSE)=Q44,2,-2)))))</f>
        <v>0</v>
      </c>
      <c r="AI44">
        <f>IF(I44="","",Data!S$3-COUNTA('Stats Calculator'!E$31:E$38))</f>
        <v>7</v>
      </c>
      <c r="AJ44">
        <f>IF(I44="","",IF(AF44=0,0,IF(VLOOKUP(AF44,'Stats Calculator'!B$31:E$38,4,FALSE)&gt;0,0,2)))</f>
        <v>2</v>
      </c>
      <c r="AK44">
        <f>IF(I44="","",IF(Data!S$3-Engine!AI44=AG44,2,0))</f>
        <v>0</v>
      </c>
      <c r="AL44">
        <f t="shared" si="14"/>
        <v>9</v>
      </c>
    </row>
    <row r="45" spans="1:38" x14ac:dyDescent="0.35">
      <c r="A45">
        <v>44</v>
      </c>
      <c r="B45">
        <f t="shared" si="18"/>
        <v>12</v>
      </c>
      <c r="C45" s="111">
        <f t="shared" si="8"/>
        <v>32.01185005</v>
      </c>
      <c r="D45">
        <f t="shared" si="19"/>
        <v>12</v>
      </c>
      <c r="E45" s="3" t="str">
        <f t="shared" si="9"/>
        <v>u</v>
      </c>
      <c r="F45" t="str">
        <f t="shared" si="10"/>
        <v/>
      </c>
      <c r="G45">
        <v>50</v>
      </c>
      <c r="H45" t="str">
        <f>Data!A46</f>
        <v>SMOG</v>
      </c>
      <c r="I45" s="2" t="str">
        <f>Data!C46</f>
        <v>Sea Eagles</v>
      </c>
      <c r="J45" s="2" t="str">
        <f>Data!D46</f>
        <v>Bulldogs</v>
      </c>
      <c r="K45" s="2" t="str">
        <f>Data!E46</f>
        <v>Storm</v>
      </c>
      <c r="L45" s="2" t="str">
        <f>IF(Data!$S$3&lt;Engine!L$1,0,Data!F46)</f>
        <v>Broncos</v>
      </c>
      <c r="M45" s="2" t="str">
        <f>IF(Data!$S$3&lt;Engine!M$1,0,Data!G46)</f>
        <v>Roosters</v>
      </c>
      <c r="N45" s="2" t="str">
        <f>IF(Data!$S$3&lt;Engine!N$1,0,Data!H46)</f>
        <v>Titans</v>
      </c>
      <c r="O45" s="2" t="str">
        <f>IF(Data!$S$3&lt;Engine!O$1,0,Data!I46)</f>
        <v>Sharks</v>
      </c>
      <c r="P45" s="2" t="str">
        <f>IF(Data!$S$3&lt;Engine!P$1,0,Data!J46)</f>
        <v>Wests Tigers</v>
      </c>
      <c r="Q45" s="11" t="str">
        <f>IF(Data!B46=1,Data!K46,"No Tips")</f>
        <v>Storm</v>
      </c>
      <c r="R45" s="2">
        <f>Data!L46</f>
        <v>32</v>
      </c>
      <c r="S45" s="2">
        <f>Data!M46</f>
        <v>1185</v>
      </c>
      <c r="T45" s="1">
        <f>IF(I45="","",COUNTIF('Live Ladder'!P:P,I45)+COUNTIF('Live Ladder'!P:P,J45)+COUNTIF('Live Ladder'!P:P,K45)+COUNTIF('Live Ladder'!P:P,L45)+COUNTIF('Live Ladder'!P:P,M45)+COUNTIF('Live Ladder'!P:P,N45)+COUNTIF('Live Ladder'!P:P,O45)+COUNTIF('Live Ladder'!P:P,P45))</f>
        <v>0</v>
      </c>
      <c r="U45" s="1">
        <f>IF(I45="","",IF(COUNTIF('Live Ladder'!P:P,Engine!Q45)=1,2,IF(COUNTIF('Live Ladder'!Q:Q,Engine!Q45)=1,-2,0)))</f>
        <v>0</v>
      </c>
      <c r="V45" s="1">
        <f>IF(I45="","",IF(T45=Data!S$3,2,0))</f>
        <v>0</v>
      </c>
      <c r="W45" s="1">
        <f t="shared" si="11"/>
        <v>0</v>
      </c>
      <c r="X45" s="1">
        <f>IF(I45="",AE$2,IF(I45='Live Ladder'!B$4,'Live Ladder'!C$4,'Live Ladder'!D$4)+IF(J45='Live Ladder'!B$5,'Live Ladder'!C$5,'Live Ladder'!D$5)+IF(K45='Live Ladder'!B$6,'Live Ladder'!C$6,'Live Ladder'!D$6)+IF(L45='Live Ladder'!B$7,'Live Ladder'!C$7,'Live Ladder'!D$7)+IF(M45='Live Ladder'!B$8,'Live Ladder'!C$8,'Live Ladder'!D$8)+IF(N45='Live Ladder'!B$9,'Live Ladder'!C$9,'Live Ladder'!D$9)+IF(O45='Live Ladder'!B$10,'Live Ladder'!C$10,'Live Ladder'!D$10)+IF(P45='Live Ladder'!B$11,'Live Ladder'!C$11,'Live Ladder'!D$11))</f>
        <v>18</v>
      </c>
      <c r="Y45">
        <f t="shared" si="17"/>
        <v>32</v>
      </c>
      <c r="Z45">
        <f t="shared" si="12"/>
        <v>1203</v>
      </c>
      <c r="AA45" s="111">
        <f t="shared" si="13"/>
        <v>32.01203005</v>
      </c>
      <c r="AB45">
        <f t="shared" si="16"/>
        <v>0</v>
      </c>
      <c r="AC45">
        <f>IF(I45="","",IF(I45='Live Ladder'!B$4,'Live Ladder'!C$4,'Live Ladder'!D$4)+IF(J45='Live Ladder'!B$5,'Live Ladder'!C$5,'Live Ladder'!D$5)+IF(K45='Live Ladder'!B$6,'Live Ladder'!C$6,'Live Ladder'!D$6)+IF(L45='Live Ladder'!B$7,'Live Ladder'!C$7,'Live Ladder'!D$7)+IF(M45='Live Ladder'!B$8,'Live Ladder'!C$8,'Live Ladder'!D$8)+IF(N45='Live Ladder'!B$9,'Live Ladder'!C$9,'Live Ladder'!D$9)+IF(O45='Live Ladder'!B$10,'Live Ladder'!C$10,'Live Ladder'!D$10)+IF(P45='Live Ladder'!B$11,'Live Ladder'!C$11,'Live Ladder'!D$11))</f>
        <v>18</v>
      </c>
      <c r="AF45">
        <f>IF(I45="","",IF(Q45="",0,IF(AND(Q45&gt;0,COUNTIF('Stats Calculator'!$T$24:$AA$24,Q45)=1),HLOOKUP(Q45,'Stats Calculator'!$T$24:$AA$27,4,FALSE),IF(AND(Q45&gt;0,COUNTIF('Stats Calculator'!$T$25:$AA$25,Q45)=1),HLOOKUP(Q45,'Stats Calculator'!$T$25:$AA$27,3,FALSE)))))</f>
        <v>3</v>
      </c>
      <c r="AG45">
        <f>IF(I45="","",COUNTIF(I45,'Stats Calculator'!E$31)+COUNTIF(J45,'Stats Calculator'!E$32)+COUNTIF(K45,'Stats Calculator'!E$33)+COUNTIF(L45,'Stats Calculator'!E$34)+COUNTIF(M45,'Stats Calculator'!E$35)+COUNTIF(N45,'Stats Calculator'!E$36)+COUNTIF(O45,'Stats Calculator'!E$37)+COUNTIF(P45,'Stats Calculator'!E$38)-8+Data!S$3)</f>
        <v>0</v>
      </c>
      <c r="AH45">
        <f>IF(I45="","",IF(Q45="",0,IF(Q45=0,0,IF(VLOOKUP(Engine!AF45,'Stats Calculator'!B$31:E$38,4,FALSE)="",0,IF(VLOOKUP(Engine!AF45,'Stats Calculator'!B$31:E$38,4,FALSE)=Q45,2,-2)))))</f>
        <v>0</v>
      </c>
      <c r="AI45">
        <f>IF(I45="","",Data!S$3-COUNTA('Stats Calculator'!E$31:E$38))</f>
        <v>7</v>
      </c>
      <c r="AJ45">
        <f>IF(I45="","",IF(AF45=0,0,IF(VLOOKUP(AF45,'Stats Calculator'!B$31:E$38,4,FALSE)&gt;0,0,2)))</f>
        <v>2</v>
      </c>
      <c r="AK45">
        <f>IF(I45="","",IF(Data!S$3-Engine!AI45=AG45,2,0))</f>
        <v>0</v>
      </c>
      <c r="AL45">
        <f t="shared" si="14"/>
        <v>9</v>
      </c>
    </row>
    <row r="46" spans="1:38" s="10" customFormat="1" x14ac:dyDescent="0.35">
      <c r="A46" s="10">
        <v>45</v>
      </c>
      <c r="B46" s="10">
        <f t="shared" si="18"/>
        <v>23</v>
      </c>
      <c r="C46" s="111">
        <f t="shared" si="8"/>
        <v>29.011750049</v>
      </c>
      <c r="D46" s="10">
        <f t="shared" si="19"/>
        <v>24</v>
      </c>
      <c r="E46" s="106" t="str">
        <f t="shared" si="9"/>
        <v>q</v>
      </c>
      <c r="F46" s="10">
        <f t="shared" si="10"/>
        <v>1</v>
      </c>
      <c r="G46">
        <v>49</v>
      </c>
      <c r="H46" t="str">
        <f>Data!A47</f>
        <v>Splinter</v>
      </c>
      <c r="I46" s="2" t="str">
        <f>Data!C47</f>
        <v>Sea Eagles</v>
      </c>
      <c r="J46" s="2" t="str">
        <f>Data!D47</f>
        <v>Bulldogs</v>
      </c>
      <c r="K46" s="2" t="str">
        <f>Data!E47</f>
        <v>Storm</v>
      </c>
      <c r="L46" s="2" t="str">
        <f>IF(Data!$S$3&lt;Engine!L$1,0,Data!F47)</f>
        <v>Broncos</v>
      </c>
      <c r="M46" s="2" t="str">
        <f>IF(Data!$S$3&lt;Engine!M$1,0,Data!G47)</f>
        <v>Panthers</v>
      </c>
      <c r="N46" s="2" t="str">
        <f>IF(Data!$S$3&lt;Engine!N$1,0,Data!H47)</f>
        <v>Raiders</v>
      </c>
      <c r="O46" s="2" t="str">
        <f>IF(Data!$S$3&lt;Engine!O$1,0,Data!I47)</f>
        <v>Knights</v>
      </c>
      <c r="P46" s="2" t="str">
        <f>IF(Data!$S$3&lt;Engine!P$1,0,Data!J47)</f>
        <v>Eels</v>
      </c>
      <c r="Q46" s="11" t="str">
        <f>IF(Data!B47=1,Data!K47,"No Tips")</f>
        <v>Storm</v>
      </c>
      <c r="R46" s="2">
        <f>Data!L47</f>
        <v>29</v>
      </c>
      <c r="S46" s="2">
        <f>Data!M47</f>
        <v>1175</v>
      </c>
      <c r="T46" s="107">
        <f>IF(I46="","",COUNTIF('Live Ladder'!P:P,I46)+COUNTIF('Live Ladder'!P:P,J46)+COUNTIF('Live Ladder'!P:P,K46)+COUNTIF('Live Ladder'!P:P,L46)+COUNTIF('Live Ladder'!P:P,M46)+COUNTIF('Live Ladder'!P:P,N46)+COUNTIF('Live Ladder'!P:P,O46)+COUNTIF('Live Ladder'!P:P,P46))</f>
        <v>0</v>
      </c>
      <c r="U46" s="107">
        <f>IF(I46="","",IF(COUNTIF('Live Ladder'!P:P,Engine!Q46)=1,2,IF(COUNTIF('Live Ladder'!Q:Q,Engine!Q46)=1,-2,0)))</f>
        <v>0</v>
      </c>
      <c r="V46" s="107">
        <f>IF(I46="","",IF(T46=Data!S$3,2,0))</f>
        <v>0</v>
      </c>
      <c r="W46" s="107">
        <f t="shared" si="11"/>
        <v>0</v>
      </c>
      <c r="X46" s="107">
        <f>IF(I46="",AE$2,IF(I46='Live Ladder'!B$4,'Live Ladder'!C$4,'Live Ladder'!D$4)+IF(J46='Live Ladder'!B$5,'Live Ladder'!C$5,'Live Ladder'!D$5)+IF(K46='Live Ladder'!B$6,'Live Ladder'!C$6,'Live Ladder'!D$6)+IF(L46='Live Ladder'!B$7,'Live Ladder'!C$7,'Live Ladder'!D$7)+IF(M46='Live Ladder'!B$8,'Live Ladder'!C$8,'Live Ladder'!D$8)+IF(N46='Live Ladder'!B$9,'Live Ladder'!C$9,'Live Ladder'!D$9)+IF(O46='Live Ladder'!B$10,'Live Ladder'!C$10,'Live Ladder'!D$10)+IF(P46='Live Ladder'!B$11,'Live Ladder'!C$11,'Live Ladder'!D$11))</f>
        <v>18</v>
      </c>
      <c r="Y46" s="10">
        <f t="shared" si="17"/>
        <v>29</v>
      </c>
      <c r="Z46" s="10">
        <f t="shared" si="12"/>
        <v>1193</v>
      </c>
      <c r="AA46" s="111">
        <f t="shared" si="13"/>
        <v>29.011930049</v>
      </c>
      <c r="AB46" s="10">
        <f t="shared" si="16"/>
        <v>0</v>
      </c>
      <c r="AC46" s="10">
        <f>IF(I46="","",IF(I46='Live Ladder'!B$4,'Live Ladder'!C$4,'Live Ladder'!D$4)+IF(J46='Live Ladder'!B$5,'Live Ladder'!C$5,'Live Ladder'!D$5)+IF(K46='Live Ladder'!B$6,'Live Ladder'!C$6,'Live Ladder'!D$6)+IF(L46='Live Ladder'!B$7,'Live Ladder'!C$7,'Live Ladder'!D$7)+IF(M46='Live Ladder'!B$8,'Live Ladder'!C$8,'Live Ladder'!D$8)+IF(N46='Live Ladder'!B$9,'Live Ladder'!C$9,'Live Ladder'!D$9)+IF(O46='Live Ladder'!B$10,'Live Ladder'!C$10,'Live Ladder'!D$10)+IF(P46='Live Ladder'!B$11,'Live Ladder'!C$11,'Live Ladder'!D$11))</f>
        <v>18</v>
      </c>
      <c r="AF46" s="10">
        <f>IF(I46="","",IF(Q46="",0,IF(AND(Q46&gt;0,COUNTIF('Stats Calculator'!$T$24:$AA$24,Q46)=1),HLOOKUP(Q46,'Stats Calculator'!$T$24:$AA$27,4,FALSE),IF(AND(Q46&gt;0,COUNTIF('Stats Calculator'!$T$25:$AA$25,Q46)=1),HLOOKUP(Q46,'Stats Calculator'!$T$25:$AA$27,3,FALSE)))))</f>
        <v>3</v>
      </c>
      <c r="AG46" s="10">
        <f>IF(I46="","",COUNTIF(I46,'Stats Calculator'!E$31)+COUNTIF(J46,'Stats Calculator'!E$32)+COUNTIF(K46,'Stats Calculator'!E$33)+COUNTIF(L46,'Stats Calculator'!E$34)+COUNTIF(M46,'Stats Calculator'!E$35)+COUNTIF(N46,'Stats Calculator'!E$36)+COUNTIF(O46,'Stats Calculator'!E$37)+COUNTIF(P46,'Stats Calculator'!E$38)-8+Data!S$3)</f>
        <v>0</v>
      </c>
      <c r="AH46" s="10">
        <f>IF(I46="","",IF(Q46="",0,IF(Q46=0,0,IF(VLOOKUP(Engine!AF46,'Stats Calculator'!B$31:E$38,4,FALSE)="",0,IF(VLOOKUP(Engine!AF46,'Stats Calculator'!B$31:E$38,4,FALSE)=Q46,2,-2)))))</f>
        <v>0</v>
      </c>
      <c r="AI46" s="10">
        <f>IF(I46="","",Data!S$3-COUNTA('Stats Calculator'!E$31:E$38))</f>
        <v>7</v>
      </c>
      <c r="AJ46" s="10">
        <f>IF(I46="","",IF(AF46=0,0,IF(VLOOKUP(AF46,'Stats Calculator'!B$31:E$38,4,FALSE)&gt;0,0,2)))</f>
        <v>2</v>
      </c>
      <c r="AK46" s="10">
        <f>IF(I46="","",IF(Data!S$3-Engine!AI46=AG46,2,0))</f>
        <v>0</v>
      </c>
      <c r="AL46" s="10">
        <f t="shared" si="14"/>
        <v>9</v>
      </c>
    </row>
    <row r="47" spans="1:38" x14ac:dyDescent="0.35">
      <c r="A47">
        <v>46</v>
      </c>
      <c r="B47">
        <f t="shared" si="18"/>
        <v>35</v>
      </c>
      <c r="C47" s="111">
        <f t="shared" si="8"/>
        <v>27.011610048000001</v>
      </c>
      <c r="D47">
        <f t="shared" si="19"/>
        <v>33</v>
      </c>
      <c r="E47" s="3" t="str">
        <f t="shared" si="9"/>
        <v>p</v>
      </c>
      <c r="F47">
        <f t="shared" si="10"/>
        <v>2</v>
      </c>
      <c r="G47">
        <v>48</v>
      </c>
      <c r="H47" t="str">
        <f>Data!A48</f>
        <v>Stallion</v>
      </c>
      <c r="I47" s="2" t="str">
        <f>Data!C48</f>
        <v>Sea Eagles</v>
      </c>
      <c r="J47" s="2" t="str">
        <f>Data!D48</f>
        <v>Bulldogs</v>
      </c>
      <c r="K47" s="2" t="str">
        <f>Data!E48</f>
        <v>Storm</v>
      </c>
      <c r="L47" s="2" t="str">
        <f>IF(Data!$S$3&lt;Engine!L$1,0,Data!F48)</f>
        <v>Warriors</v>
      </c>
      <c r="M47" s="2" t="str">
        <f>IF(Data!$S$3&lt;Engine!M$1,0,Data!G48)</f>
        <v>Roosters</v>
      </c>
      <c r="N47" s="2" t="str">
        <f>IF(Data!$S$3&lt;Engine!N$1,0,Data!H48)</f>
        <v>Raiders</v>
      </c>
      <c r="O47" s="2" t="str">
        <f>IF(Data!$S$3&lt;Engine!O$1,0,Data!I48)</f>
        <v>Sharks</v>
      </c>
      <c r="P47" s="2" t="str">
        <f>IF(Data!$S$3&lt;Engine!P$1,0,Data!J48)</f>
        <v>Wests Tigers</v>
      </c>
      <c r="Q47" s="11" t="str">
        <f>IF(Data!B48=1,Data!K48,"No Tips")</f>
        <v>Storm</v>
      </c>
      <c r="R47" s="2">
        <f>Data!L48</f>
        <v>27</v>
      </c>
      <c r="S47" s="2">
        <f>Data!M48</f>
        <v>1161</v>
      </c>
      <c r="T47" s="1">
        <f>IF(I47="","",COUNTIF('Live Ladder'!P:P,I47)+COUNTIF('Live Ladder'!P:P,J47)+COUNTIF('Live Ladder'!P:P,K47)+COUNTIF('Live Ladder'!P:P,L47)+COUNTIF('Live Ladder'!P:P,M47)+COUNTIF('Live Ladder'!P:P,N47)+COUNTIF('Live Ladder'!P:P,O47)+COUNTIF('Live Ladder'!P:P,P47))</f>
        <v>0</v>
      </c>
      <c r="U47" s="1">
        <f>IF(I47="","",IF(COUNTIF('Live Ladder'!P:P,Engine!Q47)=1,2,IF(COUNTIF('Live Ladder'!Q:Q,Engine!Q47)=1,-2,0)))</f>
        <v>0</v>
      </c>
      <c r="V47" s="1">
        <f>IF(I47="","",IF(T47=Data!S$3,2,0))</f>
        <v>0</v>
      </c>
      <c r="W47" s="1">
        <f t="shared" si="11"/>
        <v>0</v>
      </c>
      <c r="X47" s="1">
        <f>IF(I47="",AE$2,IF(I47='Live Ladder'!B$4,'Live Ladder'!C$4,'Live Ladder'!D$4)+IF(J47='Live Ladder'!B$5,'Live Ladder'!C$5,'Live Ladder'!D$5)+IF(K47='Live Ladder'!B$6,'Live Ladder'!C$6,'Live Ladder'!D$6)+IF(L47='Live Ladder'!B$7,'Live Ladder'!C$7,'Live Ladder'!D$7)+IF(M47='Live Ladder'!B$8,'Live Ladder'!C$8,'Live Ladder'!D$8)+IF(N47='Live Ladder'!B$9,'Live Ladder'!C$9,'Live Ladder'!D$9)+IF(O47='Live Ladder'!B$10,'Live Ladder'!C$10,'Live Ladder'!D$10)+IF(P47='Live Ladder'!B$11,'Live Ladder'!C$11,'Live Ladder'!D$11))</f>
        <v>18</v>
      </c>
      <c r="Y47">
        <f t="shared" si="17"/>
        <v>27</v>
      </c>
      <c r="Z47">
        <f t="shared" si="12"/>
        <v>1179</v>
      </c>
      <c r="AA47" s="111">
        <f t="shared" si="13"/>
        <v>27.011790048000002</v>
      </c>
      <c r="AB47">
        <f t="shared" si="16"/>
        <v>0</v>
      </c>
      <c r="AC47">
        <f>IF(I47="","",IF(I47='Live Ladder'!B$4,'Live Ladder'!C$4,'Live Ladder'!D$4)+IF(J47='Live Ladder'!B$5,'Live Ladder'!C$5,'Live Ladder'!D$5)+IF(K47='Live Ladder'!B$6,'Live Ladder'!C$6,'Live Ladder'!D$6)+IF(L47='Live Ladder'!B$7,'Live Ladder'!C$7,'Live Ladder'!D$7)+IF(M47='Live Ladder'!B$8,'Live Ladder'!C$8,'Live Ladder'!D$8)+IF(N47='Live Ladder'!B$9,'Live Ladder'!C$9,'Live Ladder'!D$9)+IF(O47='Live Ladder'!B$10,'Live Ladder'!C$10,'Live Ladder'!D$10)+IF(P47='Live Ladder'!B$11,'Live Ladder'!C$11,'Live Ladder'!D$11))</f>
        <v>18</v>
      </c>
      <c r="AF47">
        <f>IF(I47="","",IF(Q47="",0,IF(AND(Q47&gt;0,COUNTIF('Stats Calculator'!$T$24:$AA$24,Q47)=1),HLOOKUP(Q47,'Stats Calculator'!$T$24:$AA$27,4,FALSE),IF(AND(Q47&gt;0,COUNTIF('Stats Calculator'!$T$25:$AA$25,Q47)=1),HLOOKUP(Q47,'Stats Calculator'!$T$25:$AA$27,3,FALSE)))))</f>
        <v>3</v>
      </c>
      <c r="AG47">
        <f>IF(I47="","",COUNTIF(I47,'Stats Calculator'!E$31)+COUNTIF(J47,'Stats Calculator'!E$32)+COUNTIF(K47,'Stats Calculator'!E$33)+COUNTIF(L47,'Stats Calculator'!E$34)+COUNTIF(M47,'Stats Calculator'!E$35)+COUNTIF(N47,'Stats Calculator'!E$36)+COUNTIF(O47,'Stats Calculator'!E$37)+COUNTIF(P47,'Stats Calculator'!E$38)-8+Data!S$3)</f>
        <v>0</v>
      </c>
      <c r="AH47">
        <f>IF(I47="","",IF(Q47="",0,IF(Q47=0,0,IF(VLOOKUP(Engine!AF47,'Stats Calculator'!B$31:E$38,4,FALSE)="",0,IF(VLOOKUP(Engine!AF47,'Stats Calculator'!B$31:E$38,4,FALSE)=Q47,2,-2)))))</f>
        <v>0</v>
      </c>
      <c r="AI47">
        <f>IF(I47="","",Data!S$3-COUNTA('Stats Calculator'!E$31:E$38))</f>
        <v>7</v>
      </c>
      <c r="AJ47">
        <f>IF(I47="","",IF(AF47=0,0,IF(VLOOKUP(AF47,'Stats Calculator'!B$31:E$38,4,FALSE)&gt;0,0,2)))</f>
        <v>2</v>
      </c>
      <c r="AK47">
        <f>IF(I47="","",IF(Data!S$3-Engine!AI47=AG47,2,0))</f>
        <v>0</v>
      </c>
      <c r="AL47">
        <f t="shared" si="14"/>
        <v>9</v>
      </c>
    </row>
    <row r="48" spans="1:38" x14ac:dyDescent="0.35">
      <c r="A48">
        <v>47</v>
      </c>
      <c r="B48">
        <f t="shared" si="18"/>
        <v>19</v>
      </c>
      <c r="C48" s="111">
        <f t="shared" si="8"/>
        <v>31.011470047</v>
      </c>
      <c r="D48">
        <f t="shared" si="19"/>
        <v>18</v>
      </c>
      <c r="E48" s="3" t="str">
        <f t="shared" si="9"/>
        <v>p</v>
      </c>
      <c r="F48">
        <f t="shared" si="10"/>
        <v>1</v>
      </c>
      <c r="G48">
        <v>47</v>
      </c>
      <c r="H48" t="str">
        <f>Data!A49</f>
        <v>The Creator</v>
      </c>
      <c r="I48" s="2" t="str">
        <f>Data!C49</f>
        <v>Sea Eagles</v>
      </c>
      <c r="J48" s="2" t="str">
        <f>Data!D49</f>
        <v>Bulldogs</v>
      </c>
      <c r="K48" s="2" t="str">
        <f>Data!E49</f>
        <v>Storm</v>
      </c>
      <c r="L48" s="2" t="str">
        <f>IF(Data!$S$3&lt;Engine!L$1,0,Data!F49)</f>
        <v>Broncos</v>
      </c>
      <c r="M48" s="2" t="str">
        <f>IF(Data!$S$3&lt;Engine!M$1,0,Data!G49)</f>
        <v>Panthers</v>
      </c>
      <c r="N48" s="2" t="str">
        <f>IF(Data!$S$3&lt;Engine!N$1,0,Data!H49)</f>
        <v>Raiders</v>
      </c>
      <c r="O48" s="2" t="str">
        <f>IF(Data!$S$3&lt;Engine!O$1,0,Data!I49)</f>
        <v>Sharks</v>
      </c>
      <c r="P48" s="2" t="str">
        <f>IF(Data!$S$3&lt;Engine!P$1,0,Data!J49)</f>
        <v>Eels</v>
      </c>
      <c r="Q48" s="11" t="str">
        <f>IF(Data!B49=1,Data!K49,"No Tips")</f>
        <v>Storm</v>
      </c>
      <c r="R48" s="2">
        <f>Data!L49</f>
        <v>31</v>
      </c>
      <c r="S48" s="2">
        <f>Data!M49</f>
        <v>1147</v>
      </c>
      <c r="T48" s="1">
        <f>IF(I48="","",COUNTIF('Live Ladder'!P:P,I48)+COUNTIF('Live Ladder'!P:P,J48)+COUNTIF('Live Ladder'!P:P,K48)+COUNTIF('Live Ladder'!P:P,L48)+COUNTIF('Live Ladder'!P:P,M48)+COUNTIF('Live Ladder'!P:P,N48)+COUNTIF('Live Ladder'!P:P,O48)+COUNTIF('Live Ladder'!P:P,P48))</f>
        <v>0</v>
      </c>
      <c r="U48" s="1">
        <f>IF(I48="","",IF(COUNTIF('Live Ladder'!P:P,Engine!Q48)=1,2,IF(COUNTIF('Live Ladder'!Q:Q,Engine!Q48)=1,-2,0)))</f>
        <v>0</v>
      </c>
      <c r="V48" s="1">
        <f>IF(I48="","",IF(T48=Data!S$3,2,0))</f>
        <v>0</v>
      </c>
      <c r="W48" s="1">
        <f t="shared" si="11"/>
        <v>0</v>
      </c>
      <c r="X48" s="1">
        <f>IF(I48="",AE$2,IF(I48='Live Ladder'!B$4,'Live Ladder'!C$4,'Live Ladder'!D$4)+IF(J48='Live Ladder'!B$5,'Live Ladder'!C$5,'Live Ladder'!D$5)+IF(K48='Live Ladder'!B$6,'Live Ladder'!C$6,'Live Ladder'!D$6)+IF(L48='Live Ladder'!B$7,'Live Ladder'!C$7,'Live Ladder'!D$7)+IF(M48='Live Ladder'!B$8,'Live Ladder'!C$8,'Live Ladder'!D$8)+IF(N48='Live Ladder'!B$9,'Live Ladder'!C$9,'Live Ladder'!D$9)+IF(O48='Live Ladder'!B$10,'Live Ladder'!C$10,'Live Ladder'!D$10)+IF(P48='Live Ladder'!B$11,'Live Ladder'!C$11,'Live Ladder'!D$11))</f>
        <v>18</v>
      </c>
      <c r="Y48">
        <f t="shared" si="17"/>
        <v>31</v>
      </c>
      <c r="Z48">
        <f t="shared" si="12"/>
        <v>1165</v>
      </c>
      <c r="AA48" s="111">
        <f t="shared" si="13"/>
        <v>31.011650047</v>
      </c>
      <c r="AB48">
        <f t="shared" si="16"/>
        <v>0</v>
      </c>
      <c r="AC48">
        <f>IF(I48="","",IF(I48='Live Ladder'!B$4,'Live Ladder'!C$4,'Live Ladder'!D$4)+IF(J48='Live Ladder'!B$5,'Live Ladder'!C$5,'Live Ladder'!D$5)+IF(K48='Live Ladder'!B$6,'Live Ladder'!C$6,'Live Ladder'!D$6)+IF(L48='Live Ladder'!B$7,'Live Ladder'!C$7,'Live Ladder'!D$7)+IF(M48='Live Ladder'!B$8,'Live Ladder'!C$8,'Live Ladder'!D$8)+IF(N48='Live Ladder'!B$9,'Live Ladder'!C$9,'Live Ladder'!D$9)+IF(O48='Live Ladder'!B$10,'Live Ladder'!C$10,'Live Ladder'!D$10)+IF(P48='Live Ladder'!B$11,'Live Ladder'!C$11,'Live Ladder'!D$11))</f>
        <v>18</v>
      </c>
      <c r="AF48">
        <f>IF(I48="","",IF(Q48="",0,IF(AND(Q48&gt;0,COUNTIF('Stats Calculator'!$T$24:$AA$24,Q48)=1),HLOOKUP(Q48,'Stats Calculator'!$T$24:$AA$27,4,FALSE),IF(AND(Q48&gt;0,COUNTIF('Stats Calculator'!$T$25:$AA$25,Q48)=1),HLOOKUP(Q48,'Stats Calculator'!$T$25:$AA$27,3,FALSE)))))</f>
        <v>3</v>
      </c>
      <c r="AG48">
        <f>IF(I48="","",COUNTIF(I48,'Stats Calculator'!E$31)+COUNTIF(J48,'Stats Calculator'!E$32)+COUNTIF(K48,'Stats Calculator'!E$33)+COUNTIF(L48,'Stats Calculator'!E$34)+COUNTIF(M48,'Stats Calculator'!E$35)+COUNTIF(N48,'Stats Calculator'!E$36)+COUNTIF(O48,'Stats Calculator'!E$37)+COUNTIF(P48,'Stats Calculator'!E$38)-8+Data!S$3)</f>
        <v>0</v>
      </c>
      <c r="AH48">
        <f>IF(I48="","",IF(Q48="",0,IF(Q48=0,0,IF(VLOOKUP(Engine!AF48,'Stats Calculator'!B$31:E$38,4,FALSE)="",0,IF(VLOOKUP(Engine!AF48,'Stats Calculator'!B$31:E$38,4,FALSE)=Q48,2,-2)))))</f>
        <v>0</v>
      </c>
      <c r="AI48">
        <f>IF(I48="","",Data!S$3-COUNTA('Stats Calculator'!E$31:E$38))</f>
        <v>7</v>
      </c>
      <c r="AJ48">
        <f>IF(I48="","",IF(AF48=0,0,IF(VLOOKUP(AF48,'Stats Calculator'!B$31:E$38,4,FALSE)&gt;0,0,2)))</f>
        <v>2</v>
      </c>
      <c r="AK48">
        <f>IF(I48="","",IF(Data!S$3-Engine!AI48=AG48,2,0))</f>
        <v>0</v>
      </c>
      <c r="AL48">
        <f t="shared" si="14"/>
        <v>9</v>
      </c>
    </row>
    <row r="49" spans="1:38" s="10" customFormat="1" x14ac:dyDescent="0.35">
      <c r="A49">
        <v>48</v>
      </c>
      <c r="B49">
        <f t="shared" si="18"/>
        <v>15</v>
      </c>
      <c r="C49" s="111">
        <f t="shared" si="8"/>
        <v>31.012030046</v>
      </c>
      <c r="D49">
        <f t="shared" si="19"/>
        <v>14</v>
      </c>
      <c r="E49" s="3" t="str">
        <f t="shared" si="9"/>
        <v>p</v>
      </c>
      <c r="F49">
        <f t="shared" si="10"/>
        <v>1</v>
      </c>
      <c r="G49">
        <v>46</v>
      </c>
      <c r="H49" t="str">
        <f>Data!A50</f>
        <v>TheZipZipMan</v>
      </c>
      <c r="I49" s="2" t="str">
        <f>Data!C50</f>
        <v>Sea Eagles</v>
      </c>
      <c r="J49" s="2" t="str">
        <f>Data!D50</f>
        <v>Bulldogs</v>
      </c>
      <c r="K49" s="2" t="str">
        <f>Data!E50</f>
        <v>Storm</v>
      </c>
      <c r="L49" s="2" t="str">
        <f>IF(Data!$S$3&lt;Engine!L$1,0,Data!F50)</f>
        <v>Broncos</v>
      </c>
      <c r="M49" s="2" t="str">
        <f>IF(Data!$S$3&lt;Engine!M$1,0,Data!G50)</f>
        <v>Roosters</v>
      </c>
      <c r="N49" s="2" t="str">
        <f>IF(Data!$S$3&lt;Engine!N$1,0,Data!H50)</f>
        <v>Raiders</v>
      </c>
      <c r="O49" s="2" t="str">
        <f>IF(Data!$S$3&lt;Engine!O$1,0,Data!I50)</f>
        <v>Sharks</v>
      </c>
      <c r="P49" s="2" t="str">
        <f>IF(Data!$S$3&lt;Engine!P$1,0,Data!J50)</f>
        <v>Eels</v>
      </c>
      <c r="Q49" s="11" t="str">
        <f>IF(Data!B50=1,Data!K50,"No Tips")</f>
        <v>Storm</v>
      </c>
      <c r="R49" s="2">
        <f>Data!L50</f>
        <v>31</v>
      </c>
      <c r="S49" s="2">
        <f>Data!M50</f>
        <v>1203</v>
      </c>
      <c r="T49" s="1">
        <f>IF(I49="","",COUNTIF('Live Ladder'!P:P,I49)+COUNTIF('Live Ladder'!P:P,J49)+COUNTIF('Live Ladder'!P:P,K49)+COUNTIF('Live Ladder'!P:P,L49)+COUNTIF('Live Ladder'!P:P,M49)+COUNTIF('Live Ladder'!P:P,N49)+COUNTIF('Live Ladder'!P:P,O49)+COUNTIF('Live Ladder'!P:P,P49))</f>
        <v>0</v>
      </c>
      <c r="U49" s="1">
        <f>IF(I49="","",IF(COUNTIF('Live Ladder'!P:P,Engine!Q49)=1,2,IF(COUNTIF('Live Ladder'!Q:Q,Engine!Q49)=1,-2,0)))</f>
        <v>0</v>
      </c>
      <c r="V49" s="1">
        <f>IF(I49="","",IF(T49=Data!S$3,2,0))</f>
        <v>0</v>
      </c>
      <c r="W49" s="1">
        <f t="shared" si="11"/>
        <v>0</v>
      </c>
      <c r="X49" s="1">
        <f>IF(I49="",AE$2,IF(I49='Live Ladder'!B$4,'Live Ladder'!C$4,'Live Ladder'!D$4)+IF(J49='Live Ladder'!B$5,'Live Ladder'!C$5,'Live Ladder'!D$5)+IF(K49='Live Ladder'!B$6,'Live Ladder'!C$6,'Live Ladder'!D$6)+IF(L49='Live Ladder'!B$7,'Live Ladder'!C$7,'Live Ladder'!D$7)+IF(M49='Live Ladder'!B$8,'Live Ladder'!C$8,'Live Ladder'!D$8)+IF(N49='Live Ladder'!B$9,'Live Ladder'!C$9,'Live Ladder'!D$9)+IF(O49='Live Ladder'!B$10,'Live Ladder'!C$10,'Live Ladder'!D$10)+IF(P49='Live Ladder'!B$11,'Live Ladder'!C$11,'Live Ladder'!D$11))</f>
        <v>18</v>
      </c>
      <c r="Y49">
        <f t="shared" si="17"/>
        <v>31</v>
      </c>
      <c r="Z49">
        <f t="shared" si="12"/>
        <v>1221</v>
      </c>
      <c r="AA49" s="111">
        <f t="shared" si="13"/>
        <v>31.012210046</v>
      </c>
      <c r="AB49">
        <f t="shared" si="16"/>
        <v>0</v>
      </c>
      <c r="AC49">
        <f>IF(I49="","",IF(I49='Live Ladder'!B$4,'Live Ladder'!C$4,'Live Ladder'!D$4)+IF(J49='Live Ladder'!B$5,'Live Ladder'!C$5,'Live Ladder'!D$5)+IF(K49='Live Ladder'!B$6,'Live Ladder'!C$6,'Live Ladder'!D$6)+IF(L49='Live Ladder'!B$7,'Live Ladder'!C$7,'Live Ladder'!D$7)+IF(M49='Live Ladder'!B$8,'Live Ladder'!C$8,'Live Ladder'!D$8)+IF(N49='Live Ladder'!B$9,'Live Ladder'!C$9,'Live Ladder'!D$9)+IF(O49='Live Ladder'!B$10,'Live Ladder'!C$10,'Live Ladder'!D$10)+IF(P49='Live Ladder'!B$11,'Live Ladder'!C$11,'Live Ladder'!D$11))</f>
        <v>18</v>
      </c>
      <c r="AD49"/>
      <c r="AE49"/>
      <c r="AF49">
        <f>IF(I49="","",IF(Q49="",0,IF(AND(Q49&gt;0,COUNTIF('Stats Calculator'!$T$24:$AA$24,Q49)=1),HLOOKUP(Q49,'Stats Calculator'!$T$24:$AA$27,4,FALSE),IF(AND(Q49&gt;0,COUNTIF('Stats Calculator'!$T$25:$AA$25,Q49)=1),HLOOKUP(Q49,'Stats Calculator'!$T$25:$AA$27,3,FALSE)))))</f>
        <v>3</v>
      </c>
      <c r="AG49">
        <f>IF(I49="","",COUNTIF(I49,'Stats Calculator'!E$31)+COUNTIF(J49,'Stats Calculator'!E$32)+COUNTIF(K49,'Stats Calculator'!E$33)+COUNTIF(L49,'Stats Calculator'!E$34)+COUNTIF(M49,'Stats Calculator'!E$35)+COUNTIF(N49,'Stats Calculator'!E$36)+COUNTIF(O49,'Stats Calculator'!E$37)+COUNTIF(P49,'Stats Calculator'!E$38)-8+Data!S$3)</f>
        <v>0</v>
      </c>
      <c r="AH49">
        <f>IF(I49="","",IF(Q49="",0,IF(Q49=0,0,IF(VLOOKUP(Engine!AF49,'Stats Calculator'!B$31:E$38,4,FALSE)="",0,IF(VLOOKUP(Engine!AF49,'Stats Calculator'!B$31:E$38,4,FALSE)=Q49,2,-2)))))</f>
        <v>0</v>
      </c>
      <c r="AI49">
        <f>IF(I49="","",Data!S$3-COUNTA('Stats Calculator'!E$31:E$38))</f>
        <v>7</v>
      </c>
      <c r="AJ49">
        <f>IF(I49="","",IF(AF49=0,0,IF(VLOOKUP(AF49,'Stats Calculator'!B$31:E$38,4,FALSE)&gt;0,0,2)))</f>
        <v>2</v>
      </c>
      <c r="AK49">
        <f>IF(I49="","",IF(Data!S$3-Engine!AI49=AG49,2,0))</f>
        <v>0</v>
      </c>
      <c r="AL49">
        <f t="shared" si="14"/>
        <v>9</v>
      </c>
    </row>
    <row r="50" spans="1:38" x14ac:dyDescent="0.35">
      <c r="A50">
        <v>49</v>
      </c>
      <c r="B50">
        <f t="shared" si="18"/>
        <v>44</v>
      </c>
      <c r="C50" s="111">
        <f t="shared" si="8"/>
        <v>23.011230045000001</v>
      </c>
      <c r="D50">
        <f t="shared" si="19"/>
        <v>43</v>
      </c>
      <c r="E50" s="3" t="str">
        <f t="shared" si="9"/>
        <v>p</v>
      </c>
      <c r="F50">
        <f t="shared" si="10"/>
        <v>1</v>
      </c>
      <c r="G50">
        <v>45</v>
      </c>
      <c r="H50" t="str">
        <f>Data!A51</f>
        <v>Timbo</v>
      </c>
      <c r="I50" s="2" t="str">
        <f>Data!C51</f>
        <v>Sea Eagles</v>
      </c>
      <c r="J50" s="2" t="str">
        <f>Data!D51</f>
        <v>Bulldogs</v>
      </c>
      <c r="K50" s="2" t="str">
        <f>Data!E51</f>
        <v>Storm</v>
      </c>
      <c r="L50" s="2" t="str">
        <f>IF(Data!$S$3&lt;Engine!L$1,0,Data!F51)</f>
        <v>Warriors</v>
      </c>
      <c r="M50" s="2" t="str">
        <f>IF(Data!$S$3&lt;Engine!M$1,0,Data!G51)</f>
        <v>Panthers</v>
      </c>
      <c r="N50" s="2" t="str">
        <f>IF(Data!$S$3&lt;Engine!N$1,0,Data!H51)</f>
        <v>Raiders</v>
      </c>
      <c r="O50" s="2" t="str">
        <f>IF(Data!$S$3&lt;Engine!O$1,0,Data!I51)</f>
        <v>Knights</v>
      </c>
      <c r="P50" s="2" t="str">
        <f>IF(Data!$S$3&lt;Engine!P$1,0,Data!J51)</f>
        <v>Wests Tigers</v>
      </c>
      <c r="Q50" s="11" t="str">
        <f>IF(Data!B51=1,Data!K51,"No Tips")</f>
        <v>Wests Tigers</v>
      </c>
      <c r="R50" s="2">
        <f>Data!L51</f>
        <v>23</v>
      </c>
      <c r="S50" s="2">
        <f>Data!M51</f>
        <v>1123</v>
      </c>
      <c r="T50" s="1">
        <f>IF(I50="","",COUNTIF('Live Ladder'!P:P,I50)+COUNTIF('Live Ladder'!P:P,J50)+COUNTIF('Live Ladder'!P:P,K50)+COUNTIF('Live Ladder'!P:P,L50)+COUNTIF('Live Ladder'!P:P,M50)+COUNTIF('Live Ladder'!P:P,N50)+COUNTIF('Live Ladder'!P:P,O50)+COUNTIF('Live Ladder'!P:P,P50))</f>
        <v>0</v>
      </c>
      <c r="U50" s="1">
        <f>IF(I50="","",IF(COUNTIF('Live Ladder'!P:P,Engine!Q50)=1,2,IF(COUNTIF('Live Ladder'!Q:Q,Engine!Q50)=1,-2,0)))</f>
        <v>0</v>
      </c>
      <c r="V50" s="1">
        <f>IF(I50="","",IF(T50=Data!S$3,2,0))</f>
        <v>0</v>
      </c>
      <c r="W50" s="1">
        <f t="shared" si="11"/>
        <v>0</v>
      </c>
      <c r="X50" s="1">
        <f>IF(I50="",AE$2,IF(I50='Live Ladder'!B$4,'Live Ladder'!C$4,'Live Ladder'!D$4)+IF(J50='Live Ladder'!B$5,'Live Ladder'!C$5,'Live Ladder'!D$5)+IF(K50='Live Ladder'!B$6,'Live Ladder'!C$6,'Live Ladder'!D$6)+IF(L50='Live Ladder'!B$7,'Live Ladder'!C$7,'Live Ladder'!D$7)+IF(M50='Live Ladder'!B$8,'Live Ladder'!C$8,'Live Ladder'!D$8)+IF(N50='Live Ladder'!B$9,'Live Ladder'!C$9,'Live Ladder'!D$9)+IF(O50='Live Ladder'!B$10,'Live Ladder'!C$10,'Live Ladder'!D$10)+IF(P50='Live Ladder'!B$11,'Live Ladder'!C$11,'Live Ladder'!D$11))</f>
        <v>18</v>
      </c>
      <c r="Y50">
        <f t="shared" si="17"/>
        <v>23</v>
      </c>
      <c r="Z50">
        <f t="shared" si="12"/>
        <v>1141</v>
      </c>
      <c r="AA50" s="111">
        <f t="shared" si="13"/>
        <v>23.011410045000002</v>
      </c>
      <c r="AB50">
        <f t="shared" si="16"/>
        <v>0</v>
      </c>
      <c r="AC50">
        <f>IF(I50="","",IF(I50='Live Ladder'!B$4,'Live Ladder'!C$4,'Live Ladder'!D$4)+IF(J50='Live Ladder'!B$5,'Live Ladder'!C$5,'Live Ladder'!D$5)+IF(K50='Live Ladder'!B$6,'Live Ladder'!C$6,'Live Ladder'!D$6)+IF(L50='Live Ladder'!B$7,'Live Ladder'!C$7,'Live Ladder'!D$7)+IF(M50='Live Ladder'!B$8,'Live Ladder'!C$8,'Live Ladder'!D$8)+IF(N50='Live Ladder'!B$9,'Live Ladder'!C$9,'Live Ladder'!D$9)+IF(O50='Live Ladder'!B$10,'Live Ladder'!C$10,'Live Ladder'!D$10)+IF(P50='Live Ladder'!B$11,'Live Ladder'!C$11,'Live Ladder'!D$11))</f>
        <v>18</v>
      </c>
      <c r="AF50">
        <f>IF(I50="","",IF(Q50="",0,IF(AND(Q50&gt;0,COUNTIF('Stats Calculator'!$T$24:$AA$24,Q50)=1),HLOOKUP(Q50,'Stats Calculator'!$T$24:$AA$27,4,FALSE),IF(AND(Q50&gt;0,COUNTIF('Stats Calculator'!$T$25:$AA$25,Q50)=1),HLOOKUP(Q50,'Stats Calculator'!$T$25:$AA$27,3,FALSE)))))</f>
        <v>8</v>
      </c>
      <c r="AG50">
        <f>IF(I50="","",COUNTIF(I50,'Stats Calculator'!E$31)+COUNTIF(J50,'Stats Calculator'!E$32)+COUNTIF(K50,'Stats Calculator'!E$33)+COUNTIF(L50,'Stats Calculator'!E$34)+COUNTIF(M50,'Stats Calculator'!E$35)+COUNTIF(N50,'Stats Calculator'!E$36)+COUNTIF(O50,'Stats Calculator'!E$37)+COUNTIF(P50,'Stats Calculator'!E$38)-8+Data!S$3)</f>
        <v>0</v>
      </c>
      <c r="AH50">
        <f>IF(I50="","",IF(Q50="",0,IF(Q50=0,0,IF(VLOOKUP(Engine!AF50,'Stats Calculator'!B$31:E$38,4,FALSE)="",0,IF(VLOOKUP(Engine!AF50,'Stats Calculator'!B$31:E$38,4,FALSE)=Q50,2,-2)))))</f>
        <v>0</v>
      </c>
      <c r="AI50">
        <f>IF(I50="","",Data!S$3-COUNTA('Stats Calculator'!E$31:E$38))</f>
        <v>7</v>
      </c>
      <c r="AJ50">
        <f>IF(I50="","",IF(AF50=0,0,IF(VLOOKUP(AF50,'Stats Calculator'!B$31:E$38,4,FALSE)&gt;0,0,2)))</f>
        <v>2</v>
      </c>
      <c r="AK50">
        <f>IF(I50="","",IF(Data!S$3-Engine!AI50=AG50,2,0))</f>
        <v>0</v>
      </c>
      <c r="AL50">
        <f t="shared" si="14"/>
        <v>9</v>
      </c>
    </row>
    <row r="51" spans="1:38" x14ac:dyDescent="0.35">
      <c r="A51">
        <v>50</v>
      </c>
      <c r="B51">
        <f t="shared" si="18"/>
        <v>17</v>
      </c>
      <c r="C51" s="111">
        <f t="shared" si="8"/>
        <v>31.011770043999999</v>
      </c>
      <c r="D51">
        <f t="shared" si="19"/>
        <v>16</v>
      </c>
      <c r="E51" s="3" t="str">
        <f t="shared" si="9"/>
        <v>p</v>
      </c>
      <c r="F51">
        <f t="shared" si="10"/>
        <v>1</v>
      </c>
      <c r="G51">
        <v>44</v>
      </c>
      <c r="H51" t="str">
        <f>Data!A52</f>
        <v>Tripod</v>
      </c>
      <c r="I51" s="2" t="str">
        <f>Data!C52</f>
        <v>Sea Eagles</v>
      </c>
      <c r="J51" s="2" t="str">
        <f>Data!D52</f>
        <v>Bulldogs</v>
      </c>
      <c r="K51" s="2" t="str">
        <f>Data!E52</f>
        <v>Storm</v>
      </c>
      <c r="L51" s="2" t="str">
        <f>IF(Data!$S$3&lt;Engine!L$1,0,Data!F52)</f>
        <v>Broncos</v>
      </c>
      <c r="M51" s="2" t="str">
        <f>IF(Data!$S$3&lt;Engine!M$1,0,Data!G52)</f>
        <v>Panthers</v>
      </c>
      <c r="N51" s="2" t="str">
        <f>IF(Data!$S$3&lt;Engine!N$1,0,Data!H52)</f>
        <v>Raiders</v>
      </c>
      <c r="O51" s="2" t="str">
        <f>IF(Data!$S$3&lt;Engine!O$1,0,Data!I52)</f>
        <v>Sharks</v>
      </c>
      <c r="P51" s="2" t="str">
        <f>IF(Data!$S$3&lt;Engine!P$1,0,Data!J52)</f>
        <v>Wests Tigers</v>
      </c>
      <c r="Q51" s="11" t="str">
        <f>IF(Data!B52=1,Data!K52,"No Tips")</f>
        <v>Storm</v>
      </c>
      <c r="R51" s="2">
        <f>Data!L52</f>
        <v>31</v>
      </c>
      <c r="S51" s="2">
        <f>Data!M52</f>
        <v>1177</v>
      </c>
      <c r="T51" s="1">
        <f>IF(I51="","",COUNTIF('Live Ladder'!P:P,I51)+COUNTIF('Live Ladder'!P:P,J51)+COUNTIF('Live Ladder'!P:P,K51)+COUNTIF('Live Ladder'!P:P,L51)+COUNTIF('Live Ladder'!P:P,M51)+COUNTIF('Live Ladder'!P:P,N51)+COUNTIF('Live Ladder'!P:P,O51)+COUNTIF('Live Ladder'!P:P,P51))</f>
        <v>0</v>
      </c>
      <c r="U51" s="1">
        <f>IF(I51="","",IF(COUNTIF('Live Ladder'!P:P,Engine!Q51)=1,2,IF(COUNTIF('Live Ladder'!Q:Q,Engine!Q51)=1,-2,0)))</f>
        <v>0</v>
      </c>
      <c r="V51" s="1">
        <f>IF(I51="","",IF(T51=Data!S$3,2,0))</f>
        <v>0</v>
      </c>
      <c r="W51" s="1">
        <f t="shared" si="11"/>
        <v>0</v>
      </c>
      <c r="X51" s="1">
        <f>IF(I51="",AE$2,IF(I51='Live Ladder'!B$4,'Live Ladder'!C$4,'Live Ladder'!D$4)+IF(J51='Live Ladder'!B$5,'Live Ladder'!C$5,'Live Ladder'!D$5)+IF(K51='Live Ladder'!B$6,'Live Ladder'!C$6,'Live Ladder'!D$6)+IF(L51='Live Ladder'!B$7,'Live Ladder'!C$7,'Live Ladder'!D$7)+IF(M51='Live Ladder'!B$8,'Live Ladder'!C$8,'Live Ladder'!D$8)+IF(N51='Live Ladder'!B$9,'Live Ladder'!C$9,'Live Ladder'!D$9)+IF(O51='Live Ladder'!B$10,'Live Ladder'!C$10,'Live Ladder'!D$10)+IF(P51='Live Ladder'!B$11,'Live Ladder'!C$11,'Live Ladder'!D$11))</f>
        <v>18</v>
      </c>
      <c r="Y51">
        <f t="shared" si="17"/>
        <v>31</v>
      </c>
      <c r="Z51">
        <f t="shared" si="12"/>
        <v>1195</v>
      </c>
      <c r="AA51" s="111">
        <f t="shared" si="13"/>
        <v>31.011950043999999</v>
      </c>
      <c r="AB51">
        <f t="shared" si="16"/>
        <v>0</v>
      </c>
      <c r="AC51">
        <f>IF(I51="","",IF(I51='Live Ladder'!B$4,'Live Ladder'!C$4,'Live Ladder'!D$4)+IF(J51='Live Ladder'!B$5,'Live Ladder'!C$5,'Live Ladder'!D$5)+IF(K51='Live Ladder'!B$6,'Live Ladder'!C$6,'Live Ladder'!D$6)+IF(L51='Live Ladder'!B$7,'Live Ladder'!C$7,'Live Ladder'!D$7)+IF(M51='Live Ladder'!B$8,'Live Ladder'!C$8,'Live Ladder'!D$8)+IF(N51='Live Ladder'!B$9,'Live Ladder'!C$9,'Live Ladder'!D$9)+IF(O51='Live Ladder'!B$10,'Live Ladder'!C$10,'Live Ladder'!D$10)+IF(P51='Live Ladder'!B$11,'Live Ladder'!C$11,'Live Ladder'!D$11))</f>
        <v>18</v>
      </c>
      <c r="AD51" s="10"/>
      <c r="AE51" s="10"/>
      <c r="AF51">
        <f>IF(I51="","",IF(Q51="",0,IF(AND(Q51&gt;0,COUNTIF('Stats Calculator'!$T$24:$AA$24,Q51)=1),HLOOKUP(Q51,'Stats Calculator'!$T$24:$AA$27,4,FALSE),IF(AND(Q51&gt;0,COUNTIF('Stats Calculator'!$T$25:$AA$25,Q51)=1),HLOOKUP(Q51,'Stats Calculator'!$T$25:$AA$27,3,FALSE)))))</f>
        <v>3</v>
      </c>
      <c r="AG51">
        <f>IF(I51="","",COUNTIF(I51,'Stats Calculator'!E$31)+COUNTIF(J51,'Stats Calculator'!E$32)+COUNTIF(K51,'Stats Calculator'!E$33)+COUNTIF(L51,'Stats Calculator'!E$34)+COUNTIF(M51,'Stats Calculator'!E$35)+COUNTIF(N51,'Stats Calculator'!E$36)+COUNTIF(O51,'Stats Calculator'!E$37)+COUNTIF(P51,'Stats Calculator'!E$38)-8+Data!S$3)</f>
        <v>0</v>
      </c>
      <c r="AH51">
        <f>IF(I51="","",IF(Q51="",0,IF(Q51=0,0,IF(VLOOKUP(Engine!AF51,'Stats Calculator'!B$31:E$38,4,FALSE)="",0,IF(VLOOKUP(Engine!AF51,'Stats Calculator'!B$31:E$38,4,FALSE)=Q51,2,-2)))))</f>
        <v>0</v>
      </c>
      <c r="AI51">
        <f>IF(I51="","",Data!S$3-COUNTA('Stats Calculator'!E$31:E$38))</f>
        <v>7</v>
      </c>
      <c r="AJ51">
        <f>IF(I51="","",IF(AF51=0,0,IF(VLOOKUP(AF51,'Stats Calculator'!B$31:E$38,4,FALSE)&gt;0,0,2)))</f>
        <v>2</v>
      </c>
      <c r="AK51">
        <f>IF(I51="","",IF(Data!S$3-Engine!AI51=AG51,2,0))</f>
        <v>0</v>
      </c>
      <c r="AL51">
        <f t="shared" si="14"/>
        <v>9</v>
      </c>
    </row>
    <row r="52" spans="1:38" x14ac:dyDescent="0.35">
      <c r="A52">
        <v>51</v>
      </c>
      <c r="B52">
        <f t="shared" si="18"/>
        <v>26</v>
      </c>
      <c r="C52" s="111">
        <f t="shared" si="8"/>
        <v>28.011890043000001</v>
      </c>
      <c r="D52">
        <f t="shared" si="19"/>
        <v>23</v>
      </c>
      <c r="E52" s="3" t="str">
        <f t="shared" si="9"/>
        <v>p</v>
      </c>
      <c r="F52">
        <f t="shared" si="10"/>
        <v>3</v>
      </c>
      <c r="G52">
        <v>43</v>
      </c>
      <c r="H52" t="str">
        <f>Data!A53</f>
        <v>UpthePamfers</v>
      </c>
      <c r="I52" s="2" t="str">
        <f>Data!C53</f>
        <v>Dragons</v>
      </c>
      <c r="J52" s="2" t="str">
        <f>Data!D53</f>
        <v>Rabbitohs</v>
      </c>
      <c r="K52" s="2" t="str">
        <f>Data!E53</f>
        <v>Storm</v>
      </c>
      <c r="L52" s="2" t="str">
        <f>IF(Data!$S$3&lt;Engine!L$1,0,Data!F53)</f>
        <v>Broncos</v>
      </c>
      <c r="M52" s="2" t="str">
        <f>IF(Data!$S$3&lt;Engine!M$1,0,Data!G53)</f>
        <v>Panthers</v>
      </c>
      <c r="N52" s="2" t="str">
        <f>IF(Data!$S$3&lt;Engine!N$1,0,Data!H53)</f>
        <v>Raiders</v>
      </c>
      <c r="O52" s="2" t="str">
        <f>IF(Data!$S$3&lt;Engine!O$1,0,Data!I53)</f>
        <v>Sharks</v>
      </c>
      <c r="P52" s="2" t="str">
        <f>IF(Data!$S$3&lt;Engine!P$1,0,Data!J53)</f>
        <v>Wests Tigers</v>
      </c>
      <c r="Q52" s="11" t="str">
        <f>IF(Data!B53=1,Data!K53,"No Tips")</f>
        <v>Storm</v>
      </c>
      <c r="R52" s="2">
        <f>Data!L53</f>
        <v>28</v>
      </c>
      <c r="S52" s="2">
        <f>Data!M53</f>
        <v>1189</v>
      </c>
      <c r="T52" s="1">
        <f>IF(I52="","",COUNTIF('Live Ladder'!P:P,I52)+COUNTIF('Live Ladder'!P:P,J52)+COUNTIF('Live Ladder'!P:P,K52)+COUNTIF('Live Ladder'!P:P,L52)+COUNTIF('Live Ladder'!P:P,M52)+COUNTIF('Live Ladder'!P:P,N52)+COUNTIF('Live Ladder'!P:P,O52)+COUNTIF('Live Ladder'!P:P,P52))</f>
        <v>1</v>
      </c>
      <c r="U52" s="1">
        <f>IF(I52="","",IF(COUNTIF('Live Ladder'!P:P,Engine!Q52)=1,2,IF(COUNTIF('Live Ladder'!Q:Q,Engine!Q52)=1,-2,0)))</f>
        <v>0</v>
      </c>
      <c r="V52" s="1">
        <f>IF(I52="","",IF(T52=Data!S$3,2,0))</f>
        <v>0</v>
      </c>
      <c r="W52" s="1">
        <f t="shared" si="11"/>
        <v>1</v>
      </c>
      <c r="X52" s="1">
        <f>IF(I52="",AE$2,IF(I52='Live Ladder'!B$4,'Live Ladder'!C$4,'Live Ladder'!D$4)+IF(J52='Live Ladder'!B$5,'Live Ladder'!C$5,'Live Ladder'!D$5)+IF(K52='Live Ladder'!B$6,'Live Ladder'!C$6,'Live Ladder'!D$6)+IF(L52='Live Ladder'!B$7,'Live Ladder'!C$7,'Live Ladder'!D$7)+IF(M52='Live Ladder'!B$8,'Live Ladder'!C$8,'Live Ladder'!D$8)+IF(N52='Live Ladder'!B$9,'Live Ladder'!C$9,'Live Ladder'!D$9)+IF(O52='Live Ladder'!B$10,'Live Ladder'!C$10,'Live Ladder'!D$10)+IF(P52='Live Ladder'!B$11,'Live Ladder'!C$11,'Live Ladder'!D$11))</f>
        <v>20</v>
      </c>
      <c r="Y52">
        <f t="shared" si="17"/>
        <v>29</v>
      </c>
      <c r="Z52">
        <f t="shared" si="12"/>
        <v>1209</v>
      </c>
      <c r="AA52" s="111">
        <f t="shared" si="13"/>
        <v>29.012090043000001</v>
      </c>
      <c r="AB52">
        <f t="shared" si="16"/>
        <v>1</v>
      </c>
      <c r="AC52">
        <f>IF(I52="","",IF(I52='Live Ladder'!B$4,'Live Ladder'!C$4,'Live Ladder'!D$4)+IF(J52='Live Ladder'!B$5,'Live Ladder'!C$5,'Live Ladder'!D$5)+IF(K52='Live Ladder'!B$6,'Live Ladder'!C$6,'Live Ladder'!D$6)+IF(L52='Live Ladder'!B$7,'Live Ladder'!C$7,'Live Ladder'!D$7)+IF(M52='Live Ladder'!B$8,'Live Ladder'!C$8,'Live Ladder'!D$8)+IF(N52='Live Ladder'!B$9,'Live Ladder'!C$9,'Live Ladder'!D$9)+IF(O52='Live Ladder'!B$10,'Live Ladder'!C$10,'Live Ladder'!D$10)+IF(P52='Live Ladder'!B$11,'Live Ladder'!C$11,'Live Ladder'!D$11))</f>
        <v>20</v>
      </c>
      <c r="AF52">
        <f>IF(I52="","",IF(Q52="",0,IF(AND(Q52&gt;0,COUNTIF('Stats Calculator'!$T$24:$AA$24,Q52)=1),HLOOKUP(Q52,'Stats Calculator'!$T$24:$AA$27,4,FALSE),IF(AND(Q52&gt;0,COUNTIF('Stats Calculator'!$T$25:$AA$25,Q52)=1),HLOOKUP(Q52,'Stats Calculator'!$T$25:$AA$27,3,FALSE)))))</f>
        <v>3</v>
      </c>
      <c r="AG52">
        <f>IF(I52="","",COUNTIF(I52,'Stats Calculator'!E$31)+COUNTIF(J52,'Stats Calculator'!E$32)+COUNTIF(K52,'Stats Calculator'!E$33)+COUNTIF(L52,'Stats Calculator'!E$34)+COUNTIF(M52,'Stats Calculator'!E$35)+COUNTIF(N52,'Stats Calculator'!E$36)+COUNTIF(O52,'Stats Calculator'!E$37)+COUNTIF(P52,'Stats Calculator'!E$38)-8+Data!S$3)</f>
        <v>1</v>
      </c>
      <c r="AH52">
        <f>IF(I52="","",IF(Q52="",0,IF(Q52=0,0,IF(VLOOKUP(Engine!AF52,'Stats Calculator'!B$31:E$38,4,FALSE)="",0,IF(VLOOKUP(Engine!AF52,'Stats Calculator'!B$31:E$38,4,FALSE)=Q52,2,-2)))))</f>
        <v>0</v>
      </c>
      <c r="AI52">
        <f>IF(I52="","",Data!S$3-COUNTA('Stats Calculator'!E$31:E$38))</f>
        <v>7</v>
      </c>
      <c r="AJ52">
        <f>IF(I52="","",IF(AF52=0,0,IF(VLOOKUP(AF52,'Stats Calculator'!B$31:E$38,4,FALSE)&gt;0,0,2)))</f>
        <v>2</v>
      </c>
      <c r="AK52">
        <f>IF(I52="","",IF(Data!S$3-Engine!AI52=AG52,2,0))</f>
        <v>2</v>
      </c>
      <c r="AL52">
        <f t="shared" si="14"/>
        <v>12</v>
      </c>
    </row>
    <row r="53" spans="1:38" x14ac:dyDescent="0.35">
      <c r="A53">
        <v>52</v>
      </c>
      <c r="B53">
        <f t="shared" si="18"/>
        <v>54</v>
      </c>
      <c r="C53" s="111">
        <f t="shared" si="8"/>
        <v>18.011150042000001</v>
      </c>
      <c r="D53">
        <f t="shared" si="19"/>
        <v>49</v>
      </c>
      <c r="E53" s="3" t="str">
        <f t="shared" si="9"/>
        <v>p</v>
      </c>
      <c r="F53">
        <f t="shared" si="10"/>
        <v>5</v>
      </c>
      <c r="G53">
        <v>42</v>
      </c>
      <c r="H53" t="str">
        <f>Data!A54</f>
        <v>Westy</v>
      </c>
      <c r="I53" s="2" t="str">
        <f>Data!C54</f>
        <v>Dragons</v>
      </c>
      <c r="J53" s="2" t="str">
        <f>Data!D54</f>
        <v>Bulldogs</v>
      </c>
      <c r="K53" s="2" t="str">
        <f>Data!E54</f>
        <v>Storm</v>
      </c>
      <c r="L53" s="2" t="str">
        <f>IF(Data!$S$3&lt;Engine!L$1,0,Data!F54)</f>
        <v>Broncos</v>
      </c>
      <c r="M53" s="2" t="str">
        <f>IF(Data!$S$3&lt;Engine!M$1,0,Data!G54)</f>
        <v>Panthers</v>
      </c>
      <c r="N53" s="2" t="str">
        <f>IF(Data!$S$3&lt;Engine!N$1,0,Data!H54)</f>
        <v>Raiders</v>
      </c>
      <c r="O53" s="2" t="str">
        <f>IF(Data!$S$3&lt;Engine!O$1,0,Data!I54)</f>
        <v>Sharks</v>
      </c>
      <c r="P53" s="2" t="str">
        <f>IF(Data!$S$3&lt;Engine!P$1,0,Data!J54)</f>
        <v>Wests Tigers</v>
      </c>
      <c r="Q53" s="11" t="str">
        <f>IF(Data!B54=1,Data!K54,"No Tips")</f>
        <v>Dragons</v>
      </c>
      <c r="R53" s="2">
        <f>Data!L54</f>
        <v>18</v>
      </c>
      <c r="S53" s="2">
        <f>Data!M54</f>
        <v>1115</v>
      </c>
      <c r="T53" s="1">
        <f>IF(I53="","",COUNTIF('Live Ladder'!P:P,I53)+COUNTIF('Live Ladder'!P:P,J53)+COUNTIF('Live Ladder'!P:P,K53)+COUNTIF('Live Ladder'!P:P,L53)+COUNTIF('Live Ladder'!P:P,M53)+COUNTIF('Live Ladder'!P:P,N53)+COUNTIF('Live Ladder'!P:P,O53)+COUNTIF('Live Ladder'!P:P,P53))</f>
        <v>1</v>
      </c>
      <c r="U53" s="1">
        <f>IF(I53="","",IF(COUNTIF('Live Ladder'!P:P,Engine!Q53)=1,2,IF(COUNTIF('Live Ladder'!Q:Q,Engine!Q53)=1,-2,0)))</f>
        <v>2</v>
      </c>
      <c r="V53" s="1">
        <f>IF(I53="","",IF(T53=Data!S$3,2,0))</f>
        <v>0</v>
      </c>
      <c r="W53" s="1">
        <f t="shared" si="11"/>
        <v>3</v>
      </c>
      <c r="X53" s="1">
        <f>IF(I53="",AE$2,IF(I53='Live Ladder'!B$4,'Live Ladder'!C$4,'Live Ladder'!D$4)+IF(J53='Live Ladder'!B$5,'Live Ladder'!C$5,'Live Ladder'!D$5)+IF(K53='Live Ladder'!B$6,'Live Ladder'!C$6,'Live Ladder'!D$6)+IF(L53='Live Ladder'!B$7,'Live Ladder'!C$7,'Live Ladder'!D$7)+IF(M53='Live Ladder'!B$8,'Live Ladder'!C$8,'Live Ladder'!D$8)+IF(N53='Live Ladder'!B$9,'Live Ladder'!C$9,'Live Ladder'!D$9)+IF(O53='Live Ladder'!B$10,'Live Ladder'!C$10,'Live Ladder'!D$10)+IF(P53='Live Ladder'!B$11,'Live Ladder'!C$11,'Live Ladder'!D$11))</f>
        <v>20</v>
      </c>
      <c r="Y53">
        <f t="shared" si="17"/>
        <v>21</v>
      </c>
      <c r="Z53">
        <f t="shared" si="12"/>
        <v>1135</v>
      </c>
      <c r="AA53" s="111">
        <f t="shared" si="13"/>
        <v>21.011350042</v>
      </c>
      <c r="AB53">
        <f t="shared" si="16"/>
        <v>3</v>
      </c>
      <c r="AC53">
        <f>IF(I53="","",IF(I53='Live Ladder'!B$4,'Live Ladder'!C$4,'Live Ladder'!D$4)+IF(J53='Live Ladder'!B$5,'Live Ladder'!C$5,'Live Ladder'!D$5)+IF(K53='Live Ladder'!B$6,'Live Ladder'!C$6,'Live Ladder'!D$6)+IF(L53='Live Ladder'!B$7,'Live Ladder'!C$7,'Live Ladder'!D$7)+IF(M53='Live Ladder'!B$8,'Live Ladder'!C$8,'Live Ladder'!D$8)+IF(N53='Live Ladder'!B$9,'Live Ladder'!C$9,'Live Ladder'!D$9)+IF(O53='Live Ladder'!B$10,'Live Ladder'!C$10,'Live Ladder'!D$10)+IF(P53='Live Ladder'!B$11,'Live Ladder'!C$11,'Live Ladder'!D$11))</f>
        <v>20</v>
      </c>
      <c r="AF53">
        <f>IF(I53="","",IF(Q53="",0,IF(AND(Q53&gt;0,COUNTIF('Stats Calculator'!$T$24:$AA$24,Q53)=1),HLOOKUP(Q53,'Stats Calculator'!$T$24:$AA$27,4,FALSE),IF(AND(Q53&gt;0,COUNTIF('Stats Calculator'!$T$25:$AA$25,Q53)=1),HLOOKUP(Q53,'Stats Calculator'!$T$25:$AA$27,3,FALSE)))))</f>
        <v>1</v>
      </c>
      <c r="AG53">
        <f>IF(I53="","",COUNTIF(I53,'Stats Calculator'!E$31)+COUNTIF(J53,'Stats Calculator'!E$32)+COUNTIF(K53,'Stats Calculator'!E$33)+COUNTIF(L53,'Stats Calculator'!E$34)+COUNTIF(M53,'Stats Calculator'!E$35)+COUNTIF(N53,'Stats Calculator'!E$36)+COUNTIF(O53,'Stats Calculator'!E$37)+COUNTIF(P53,'Stats Calculator'!E$38)-8+Data!S$3)</f>
        <v>1</v>
      </c>
      <c r="AH53">
        <f>IF(I53="","",IF(Q53="",0,IF(Q53=0,0,IF(VLOOKUP(Engine!AF53,'Stats Calculator'!B$31:E$38,4,FALSE)="",0,IF(VLOOKUP(Engine!AF53,'Stats Calculator'!B$31:E$38,4,FALSE)=Q53,2,-2)))))</f>
        <v>2</v>
      </c>
      <c r="AI53">
        <f>IF(I53="","",Data!S$3-COUNTA('Stats Calculator'!E$31:E$38))</f>
        <v>7</v>
      </c>
      <c r="AJ53">
        <f>IF(I53="","",IF(AF53=0,0,IF(VLOOKUP(AF53,'Stats Calculator'!B$31:E$38,4,FALSE)&gt;0,0,2)))</f>
        <v>0</v>
      </c>
      <c r="AK53">
        <f>IF(I53="","",IF(Data!S$3-Engine!AI53=AG53,2,0))</f>
        <v>2</v>
      </c>
      <c r="AL53">
        <f t="shared" si="14"/>
        <v>12</v>
      </c>
    </row>
    <row r="54" spans="1:38" x14ac:dyDescent="0.35">
      <c r="A54">
        <v>53</v>
      </c>
      <c r="B54">
        <f t="shared" si="18"/>
        <v>9</v>
      </c>
      <c r="C54" s="111">
        <f t="shared" si="8"/>
        <v>32.012030041000003</v>
      </c>
      <c r="D54">
        <f t="shared" si="19"/>
        <v>8</v>
      </c>
      <c r="E54" s="3" t="str">
        <f t="shared" si="9"/>
        <v>p</v>
      </c>
      <c r="F54">
        <f t="shared" si="10"/>
        <v>1</v>
      </c>
      <c r="G54">
        <v>41</v>
      </c>
      <c r="H54" t="str">
        <f>Data!A55</f>
        <v>Wiley C</v>
      </c>
      <c r="I54" s="2" t="str">
        <f>Data!C55</f>
        <v>Dragons</v>
      </c>
      <c r="J54" s="2" t="str">
        <f>Data!D55</f>
        <v>Bulldogs</v>
      </c>
      <c r="K54" s="2" t="str">
        <f>Data!E55</f>
        <v>Storm</v>
      </c>
      <c r="L54" s="2" t="str">
        <f>IF(Data!$S$3&lt;Engine!L$1,0,Data!F55)</f>
        <v>Broncos</v>
      </c>
      <c r="M54" s="2" t="str">
        <f>IF(Data!$S$3&lt;Engine!M$1,0,Data!G55)</f>
        <v>Roosters</v>
      </c>
      <c r="N54" s="2" t="str">
        <f>IF(Data!$S$3&lt;Engine!N$1,0,Data!H55)</f>
        <v>Raiders</v>
      </c>
      <c r="O54" s="2" t="str">
        <f>IF(Data!$S$3&lt;Engine!O$1,0,Data!I55)</f>
        <v>Sharks</v>
      </c>
      <c r="P54" s="2" t="str">
        <f>IF(Data!$S$3&lt;Engine!P$1,0,Data!J55)</f>
        <v>Wests Tigers</v>
      </c>
      <c r="Q54" s="11" t="str">
        <f>IF(Data!B55=1,Data!K55,"No Tips")</f>
        <v>Sharks</v>
      </c>
      <c r="R54" s="2">
        <f>Data!L55</f>
        <v>32</v>
      </c>
      <c r="S54" s="2">
        <f>Data!M55</f>
        <v>1203</v>
      </c>
      <c r="T54" s="1">
        <f>IF(I54="","",COUNTIF('Live Ladder'!P:P,I54)+COUNTIF('Live Ladder'!P:P,J54)+COUNTIF('Live Ladder'!P:P,K54)+COUNTIF('Live Ladder'!P:P,L54)+COUNTIF('Live Ladder'!P:P,M54)+COUNTIF('Live Ladder'!P:P,N54)+COUNTIF('Live Ladder'!P:P,O54)+COUNTIF('Live Ladder'!P:P,P54))</f>
        <v>1</v>
      </c>
      <c r="U54" s="1">
        <f>IF(I54="","",IF(COUNTIF('Live Ladder'!P:P,Engine!Q54)=1,2,IF(COUNTIF('Live Ladder'!Q:Q,Engine!Q54)=1,-2,0)))</f>
        <v>0</v>
      </c>
      <c r="V54" s="1">
        <f>IF(I54="","",IF(T54=Data!S$3,2,0))</f>
        <v>0</v>
      </c>
      <c r="W54" s="1">
        <f t="shared" si="11"/>
        <v>1</v>
      </c>
      <c r="X54" s="1">
        <f>IF(I54="",AE$2,IF(I54='Live Ladder'!B$4,'Live Ladder'!C$4,'Live Ladder'!D$4)+IF(J54='Live Ladder'!B$5,'Live Ladder'!C$5,'Live Ladder'!D$5)+IF(K54='Live Ladder'!B$6,'Live Ladder'!C$6,'Live Ladder'!D$6)+IF(L54='Live Ladder'!B$7,'Live Ladder'!C$7,'Live Ladder'!D$7)+IF(M54='Live Ladder'!B$8,'Live Ladder'!C$8,'Live Ladder'!D$8)+IF(N54='Live Ladder'!B$9,'Live Ladder'!C$9,'Live Ladder'!D$9)+IF(O54='Live Ladder'!B$10,'Live Ladder'!C$10,'Live Ladder'!D$10)+IF(P54='Live Ladder'!B$11,'Live Ladder'!C$11,'Live Ladder'!D$11))</f>
        <v>20</v>
      </c>
      <c r="Y54">
        <f t="shared" si="17"/>
        <v>33</v>
      </c>
      <c r="Z54">
        <f t="shared" si="12"/>
        <v>1223</v>
      </c>
      <c r="AA54" s="111">
        <f t="shared" si="13"/>
        <v>33.012230041000002</v>
      </c>
      <c r="AB54">
        <f t="shared" si="16"/>
        <v>1</v>
      </c>
      <c r="AC54">
        <f>IF(I54="","",IF(I54='Live Ladder'!B$4,'Live Ladder'!C$4,'Live Ladder'!D$4)+IF(J54='Live Ladder'!B$5,'Live Ladder'!C$5,'Live Ladder'!D$5)+IF(K54='Live Ladder'!B$6,'Live Ladder'!C$6,'Live Ladder'!D$6)+IF(L54='Live Ladder'!B$7,'Live Ladder'!C$7,'Live Ladder'!D$7)+IF(M54='Live Ladder'!B$8,'Live Ladder'!C$8,'Live Ladder'!D$8)+IF(N54='Live Ladder'!B$9,'Live Ladder'!C$9,'Live Ladder'!D$9)+IF(O54='Live Ladder'!B$10,'Live Ladder'!C$10,'Live Ladder'!D$10)+IF(P54='Live Ladder'!B$11,'Live Ladder'!C$11,'Live Ladder'!D$11))</f>
        <v>20</v>
      </c>
      <c r="AF54">
        <f>IF(I54="","",IF(Q54="",0,IF(AND(Q54&gt;0,COUNTIF('Stats Calculator'!$T$24:$AA$24,Q54)=1),HLOOKUP(Q54,'Stats Calculator'!$T$24:$AA$27,4,FALSE),IF(AND(Q54&gt;0,COUNTIF('Stats Calculator'!$T$25:$AA$25,Q54)=1),HLOOKUP(Q54,'Stats Calculator'!$T$25:$AA$27,3,FALSE)))))</f>
        <v>7</v>
      </c>
      <c r="AG54">
        <f>IF(I54="","",COUNTIF(I54,'Stats Calculator'!E$31)+COUNTIF(J54,'Stats Calculator'!E$32)+COUNTIF(K54,'Stats Calculator'!E$33)+COUNTIF(L54,'Stats Calculator'!E$34)+COUNTIF(M54,'Stats Calculator'!E$35)+COUNTIF(N54,'Stats Calculator'!E$36)+COUNTIF(O54,'Stats Calculator'!E$37)+COUNTIF(P54,'Stats Calculator'!E$38)-8+Data!S$3)</f>
        <v>1</v>
      </c>
      <c r="AH54">
        <f>IF(I54="","",IF(Q54="",0,IF(Q54=0,0,IF(VLOOKUP(Engine!AF54,'Stats Calculator'!B$31:E$38,4,FALSE)="",0,IF(VLOOKUP(Engine!AF54,'Stats Calculator'!B$31:E$38,4,FALSE)=Q54,2,-2)))))</f>
        <v>0</v>
      </c>
      <c r="AI54">
        <f>IF(I54="","",Data!S$3-COUNTA('Stats Calculator'!E$31:E$38))</f>
        <v>7</v>
      </c>
      <c r="AJ54">
        <f>IF(I54="","",IF(AF54=0,0,IF(VLOOKUP(AF54,'Stats Calculator'!B$31:E$38,4,FALSE)&gt;0,0,2)))</f>
        <v>2</v>
      </c>
      <c r="AK54">
        <f>IF(I54="","",IF(Data!S$3-Engine!AI54=AG54,2,0))</f>
        <v>2</v>
      </c>
      <c r="AL54">
        <f t="shared" si="14"/>
        <v>12</v>
      </c>
    </row>
    <row r="55" spans="1:38" x14ac:dyDescent="0.35">
      <c r="A55">
        <v>54</v>
      </c>
      <c r="B55">
        <f t="shared" si="18"/>
        <v>40</v>
      </c>
      <c r="C55" s="111">
        <f t="shared" si="8"/>
        <v>25.010450039999998</v>
      </c>
      <c r="D55">
        <f t="shared" si="19"/>
        <v>40</v>
      </c>
      <c r="E55" s="3" t="str">
        <f t="shared" si="9"/>
        <v>u</v>
      </c>
      <c r="F55" t="str">
        <f t="shared" si="10"/>
        <v/>
      </c>
      <c r="G55">
        <v>40</v>
      </c>
      <c r="H55" t="str">
        <f>Data!A56</f>
        <v>Yackas</v>
      </c>
      <c r="I55" s="2" t="str">
        <f>Data!C56</f>
        <v>Sea Eagles</v>
      </c>
      <c r="J55" s="2" t="str">
        <f>Data!D56</f>
        <v>Bulldogs</v>
      </c>
      <c r="K55" s="2" t="str">
        <f>Data!E56</f>
        <v>Storm</v>
      </c>
      <c r="L55" s="2" t="str">
        <f>IF(Data!$S$3&lt;Engine!L$1,0,Data!F56)</f>
        <v>Broncos</v>
      </c>
      <c r="M55" s="2" t="str">
        <f>IF(Data!$S$3&lt;Engine!M$1,0,Data!G56)</f>
        <v>Roosters</v>
      </c>
      <c r="N55" s="2" t="str">
        <f>IF(Data!$S$3&lt;Engine!N$1,0,Data!H56)</f>
        <v>Raiders</v>
      </c>
      <c r="O55" s="2" t="str">
        <f>IF(Data!$S$3&lt;Engine!O$1,0,Data!I56)</f>
        <v>Sharks</v>
      </c>
      <c r="P55" s="2" t="str">
        <f>IF(Data!$S$3&lt;Engine!P$1,0,Data!J56)</f>
        <v>Eels</v>
      </c>
      <c r="Q55" s="11" t="str">
        <f>IF(Data!B56=1,Data!K56,"No Tips")</f>
        <v>Storm</v>
      </c>
      <c r="R55" s="2">
        <f>Data!L56</f>
        <v>25</v>
      </c>
      <c r="S55" s="2">
        <f>Data!M56</f>
        <v>1045</v>
      </c>
      <c r="T55" s="1">
        <f>IF(I55="","",COUNTIF('Live Ladder'!P:P,I55)+COUNTIF('Live Ladder'!P:P,J55)+COUNTIF('Live Ladder'!P:P,K55)+COUNTIF('Live Ladder'!P:P,L55)+COUNTIF('Live Ladder'!P:P,M55)+COUNTIF('Live Ladder'!P:P,N55)+COUNTIF('Live Ladder'!P:P,O55)+COUNTIF('Live Ladder'!P:P,P55))</f>
        <v>0</v>
      </c>
      <c r="U55" s="1">
        <f>IF(I55="","",IF(COUNTIF('Live Ladder'!P:P,Engine!Q55)=1,2,IF(COUNTIF('Live Ladder'!Q:Q,Engine!Q55)=1,-2,0)))</f>
        <v>0</v>
      </c>
      <c r="V55" s="1">
        <f>IF(I55="","",IF(T55=Data!S$3,2,0))</f>
        <v>0</v>
      </c>
      <c r="W55" s="1">
        <f t="shared" si="11"/>
        <v>0</v>
      </c>
      <c r="X55" s="1">
        <f>IF(I55="",AE$2,IF(I55='Live Ladder'!B$4,'Live Ladder'!C$4,'Live Ladder'!D$4)+IF(J55='Live Ladder'!B$5,'Live Ladder'!C$5,'Live Ladder'!D$5)+IF(K55='Live Ladder'!B$6,'Live Ladder'!C$6,'Live Ladder'!D$6)+IF(L55='Live Ladder'!B$7,'Live Ladder'!C$7,'Live Ladder'!D$7)+IF(M55='Live Ladder'!B$8,'Live Ladder'!C$8,'Live Ladder'!D$8)+IF(N55='Live Ladder'!B$9,'Live Ladder'!C$9,'Live Ladder'!D$9)+IF(O55='Live Ladder'!B$10,'Live Ladder'!C$10,'Live Ladder'!D$10)+IF(P55='Live Ladder'!B$11,'Live Ladder'!C$11,'Live Ladder'!D$11))</f>
        <v>18</v>
      </c>
      <c r="Y55">
        <f t="shared" si="17"/>
        <v>25</v>
      </c>
      <c r="Z55">
        <f t="shared" si="12"/>
        <v>1063</v>
      </c>
      <c r="AA55" s="111">
        <f t="shared" si="13"/>
        <v>25.010630039999999</v>
      </c>
      <c r="AB55">
        <f t="shared" si="16"/>
        <v>0</v>
      </c>
      <c r="AC55">
        <f>IF(I55="","",IF(I55='Live Ladder'!B$4,'Live Ladder'!C$4,'Live Ladder'!D$4)+IF(J55='Live Ladder'!B$5,'Live Ladder'!C$5,'Live Ladder'!D$5)+IF(K55='Live Ladder'!B$6,'Live Ladder'!C$6,'Live Ladder'!D$6)+IF(L55='Live Ladder'!B$7,'Live Ladder'!C$7,'Live Ladder'!D$7)+IF(M55='Live Ladder'!B$8,'Live Ladder'!C$8,'Live Ladder'!D$8)+IF(N55='Live Ladder'!B$9,'Live Ladder'!C$9,'Live Ladder'!D$9)+IF(O55='Live Ladder'!B$10,'Live Ladder'!C$10,'Live Ladder'!D$10)+IF(P55='Live Ladder'!B$11,'Live Ladder'!C$11,'Live Ladder'!D$11))</f>
        <v>18</v>
      </c>
      <c r="AF55">
        <f>IF(I55="","",IF(Q55="",0,IF(AND(Q55&gt;0,COUNTIF('Stats Calculator'!$T$24:$AA$24,Q55)=1),HLOOKUP(Q55,'Stats Calculator'!$T$24:$AA$27,4,FALSE),IF(AND(Q55&gt;0,COUNTIF('Stats Calculator'!$T$25:$AA$25,Q55)=1),HLOOKUP(Q55,'Stats Calculator'!$T$25:$AA$27,3,FALSE)))))</f>
        <v>3</v>
      </c>
      <c r="AG55">
        <f>IF(I55="","",COUNTIF(I55,'Stats Calculator'!E$31)+COUNTIF(J55,'Stats Calculator'!E$32)+COUNTIF(K55,'Stats Calculator'!E$33)+COUNTIF(L55,'Stats Calculator'!E$34)+COUNTIF(M55,'Stats Calculator'!E$35)+COUNTIF(N55,'Stats Calculator'!E$36)+COUNTIF(O55,'Stats Calculator'!E$37)+COUNTIF(P55,'Stats Calculator'!E$38)-8+Data!S$3)</f>
        <v>0</v>
      </c>
      <c r="AH55">
        <f>IF(I55="","",IF(Q55="",0,IF(Q55=0,0,IF(VLOOKUP(Engine!AF55,'Stats Calculator'!B$31:E$38,4,FALSE)="",0,IF(VLOOKUP(Engine!AF55,'Stats Calculator'!B$31:E$38,4,FALSE)=Q55,2,-2)))))</f>
        <v>0</v>
      </c>
      <c r="AI55">
        <f>IF(I55="","",Data!S$3-COUNTA('Stats Calculator'!E$31:E$38))</f>
        <v>7</v>
      </c>
      <c r="AJ55">
        <f>IF(I55="","",IF(AF55=0,0,IF(VLOOKUP(AF55,'Stats Calculator'!B$31:E$38,4,FALSE)&gt;0,0,2)))</f>
        <v>2</v>
      </c>
      <c r="AK55">
        <f>IF(I55="","",IF(Data!S$3-Engine!AI55=AG55,2,0))</f>
        <v>0</v>
      </c>
      <c r="AL55">
        <f t="shared" si="14"/>
        <v>9</v>
      </c>
    </row>
    <row r="56" spans="1:38" x14ac:dyDescent="0.35">
      <c r="A56">
        <v>55</v>
      </c>
      <c r="B56" t="str">
        <f t="shared" si="18"/>
        <v/>
      </c>
      <c r="C56" s="111" t="str">
        <f t="shared" si="8"/>
        <v/>
      </c>
      <c r="D56" t="str">
        <f t="shared" si="19"/>
        <v/>
      </c>
      <c r="E56" s="3" t="str">
        <f t="shared" si="9"/>
        <v/>
      </c>
      <c r="F56" t="str">
        <f t="shared" si="10"/>
        <v/>
      </c>
      <c r="G56">
        <v>39</v>
      </c>
      <c r="H56" t="str">
        <f>Data!A57</f>
        <v>ZZZZZZ Suspend</v>
      </c>
      <c r="I56" s="2" t="str">
        <f>Data!C57</f>
        <v/>
      </c>
      <c r="J56" s="2" t="str">
        <f>Data!D57</f>
        <v/>
      </c>
      <c r="K56" s="2" t="str">
        <f>Data!E57</f>
        <v/>
      </c>
      <c r="L56" s="2" t="str">
        <f>IF(Data!$S$3&lt;Engine!L$1,0,Data!F57)</f>
        <v/>
      </c>
      <c r="M56" s="2" t="str">
        <f>IF(Data!$S$3&lt;Engine!M$1,0,Data!G57)</f>
        <v/>
      </c>
      <c r="N56" s="2" t="str">
        <f>IF(Data!$S$3&lt;Engine!N$1,0,Data!H57)</f>
        <v/>
      </c>
      <c r="O56" s="2" t="str">
        <f>IF(Data!$S$3&lt;Engine!O$1,0,Data!I57)</f>
        <v/>
      </c>
      <c r="P56" s="2" t="str">
        <f>IF(Data!$S$3&lt;Engine!P$1,0,Data!J57)</f>
        <v/>
      </c>
      <c r="Q56" s="11" t="str">
        <f>IF(Data!B57=1,Data!K57,"No Tips")</f>
        <v>No Tips</v>
      </c>
      <c r="R56" s="2" t="str">
        <f>Data!L57</f>
        <v/>
      </c>
      <c r="S56" s="2" t="str">
        <f>Data!M57</f>
        <v/>
      </c>
      <c r="T56" s="1" t="str">
        <f>IF(I56="","",COUNTIF('Live Ladder'!P:P,I56)+COUNTIF('Live Ladder'!P:P,J56)+COUNTIF('Live Ladder'!P:P,K56)+COUNTIF('Live Ladder'!P:P,L56)+COUNTIF('Live Ladder'!P:P,M56)+COUNTIF('Live Ladder'!P:P,N56)+COUNTIF('Live Ladder'!P:P,O56)+COUNTIF('Live Ladder'!P:P,P56))</f>
        <v/>
      </c>
      <c r="U56" s="1" t="str">
        <f>IF(I56="","",IF(COUNTIF('Live Ladder'!P:P,Engine!Q56)=1,2,IF(COUNTIF('Live Ladder'!Q:Q,Engine!Q56)=1,-2,0)))</f>
        <v/>
      </c>
      <c r="V56" s="1" t="str">
        <f>IF(I56="","",IF(T56=Data!S$3,2,0))</f>
        <v/>
      </c>
      <c r="W56" s="1">
        <f t="shared" si="11"/>
        <v>-2</v>
      </c>
      <c r="X56" s="1">
        <f>IF(I56="",AE$2,IF(I56='Live Ladder'!B$4,'Live Ladder'!C$4,'Live Ladder'!D$4)+IF(J56='Live Ladder'!B$5,'Live Ladder'!C$5,'Live Ladder'!D$5)+IF(K56='Live Ladder'!B$6,'Live Ladder'!C$6,'Live Ladder'!D$6)+IF(L56='Live Ladder'!B$7,'Live Ladder'!C$7,'Live Ladder'!D$7)+IF(M56='Live Ladder'!B$8,'Live Ladder'!C$8,'Live Ladder'!D$8)+IF(N56='Live Ladder'!B$9,'Live Ladder'!C$9,'Live Ladder'!D$9)+IF(O56='Live Ladder'!B$10,'Live Ladder'!C$10,'Live Ladder'!D$10)+IF(P56='Live Ladder'!B$11,'Live Ladder'!C$11,'Live Ladder'!D$11))</f>
        <v>18</v>
      </c>
      <c r="Y56" t="str">
        <f t="shared" si="17"/>
        <v/>
      </c>
      <c r="Z56" t="str">
        <f t="shared" si="12"/>
        <v/>
      </c>
      <c r="AA56" s="111" t="str">
        <f t="shared" si="13"/>
        <v/>
      </c>
      <c r="AB56">
        <f t="shared" si="16"/>
        <v>0</v>
      </c>
      <c r="AC56" t="str">
        <f>IF(I56="","",IF(I56='Live Ladder'!B$4,'Live Ladder'!C$4,'Live Ladder'!D$4)+IF(J56='Live Ladder'!B$5,'Live Ladder'!C$5,'Live Ladder'!D$5)+IF(K56='Live Ladder'!B$6,'Live Ladder'!C$6,'Live Ladder'!D$6)+IF(L56='Live Ladder'!B$7,'Live Ladder'!C$7,'Live Ladder'!D$7)+IF(M56='Live Ladder'!B$8,'Live Ladder'!C$8,'Live Ladder'!D$8)+IF(N56='Live Ladder'!B$9,'Live Ladder'!C$9,'Live Ladder'!D$9)+IF(O56='Live Ladder'!B$10,'Live Ladder'!C$10,'Live Ladder'!D$10)+IF(P56='Live Ladder'!B$11,'Live Ladder'!C$11,'Live Ladder'!D$11))</f>
        <v/>
      </c>
      <c r="AF56" t="str">
        <f>IF(I56="","",IF(Q56="",0,IF(AND(Q56&gt;0,COUNTIF('Stats Calculator'!$T$24:$AA$24,Q56)=1),HLOOKUP(Q56,'Stats Calculator'!$T$24:$AA$27,4,FALSE),IF(AND(Q56&gt;0,COUNTIF('Stats Calculator'!$T$25:$AA$25,Q56)=1),HLOOKUP(Q56,'Stats Calculator'!$T$25:$AA$27,3,FALSE)))))</f>
        <v/>
      </c>
      <c r="AG56" t="str">
        <f>IF(I56="","",COUNTIF(I56,'Stats Calculator'!E$31)+COUNTIF(J56,'Stats Calculator'!E$32)+COUNTIF(K56,'Stats Calculator'!E$33)+COUNTIF(L56,'Stats Calculator'!E$34)+COUNTIF(M56,'Stats Calculator'!E$35)+COUNTIF(N56,'Stats Calculator'!E$36)+COUNTIF(O56,'Stats Calculator'!E$37)+COUNTIF(P56,'Stats Calculator'!E$38)-8+Data!S$3)</f>
        <v/>
      </c>
      <c r="AH56" t="str">
        <f>IF(I56="","",IF(Q56="",0,IF(Q56=0,0,IF(VLOOKUP(Engine!AF56,'Stats Calculator'!B$31:E$38,4,FALSE)="",0,IF(VLOOKUP(Engine!AF56,'Stats Calculator'!B$31:E$38,4,FALSE)=Q56,2,-2)))))</f>
        <v/>
      </c>
      <c r="AI56" t="str">
        <f>IF(I56="","",Data!S$3-COUNTA('Stats Calculator'!E$31:E$38))</f>
        <v/>
      </c>
      <c r="AJ56" t="str">
        <f>IF(I56="","",IF(AF56=0,0,IF(VLOOKUP(AF56,'Stats Calculator'!B$31:E$38,4,FALSE)&gt;0,0,2)))</f>
        <v/>
      </c>
      <c r="AK56" t="str">
        <f>IF(I56="","",IF(Data!S$3-Engine!AI56=AG56,2,0))</f>
        <v/>
      </c>
      <c r="AL56" t="str">
        <f t="shared" si="14"/>
        <v/>
      </c>
    </row>
    <row r="57" spans="1:38" x14ac:dyDescent="0.35">
      <c r="A57">
        <v>56</v>
      </c>
      <c r="B57" t="str">
        <f t="shared" si="18"/>
        <v/>
      </c>
      <c r="C57" s="111" t="str">
        <f t="shared" si="8"/>
        <v/>
      </c>
      <c r="D57" t="str">
        <f t="shared" si="19"/>
        <v/>
      </c>
      <c r="E57" s="3" t="str">
        <f t="shared" si="9"/>
        <v/>
      </c>
      <c r="F57" t="str">
        <f t="shared" si="10"/>
        <v/>
      </c>
      <c r="G57">
        <v>38</v>
      </c>
      <c r="H57" t="str">
        <f>Data!A58</f>
        <v>ZZZZZZ Suspend</v>
      </c>
      <c r="I57" s="2" t="str">
        <f>Data!C58</f>
        <v/>
      </c>
      <c r="J57" s="2" t="str">
        <f>Data!D58</f>
        <v/>
      </c>
      <c r="K57" s="2" t="str">
        <f>Data!E58</f>
        <v/>
      </c>
      <c r="L57" s="2" t="str">
        <f>IF(Data!$S$3&lt;Engine!L$1,0,Data!F58)</f>
        <v/>
      </c>
      <c r="M57" s="2" t="str">
        <f>IF(Data!$S$3&lt;Engine!M$1,0,Data!G58)</f>
        <v/>
      </c>
      <c r="N57" s="2" t="str">
        <f>IF(Data!$S$3&lt;Engine!N$1,0,Data!H58)</f>
        <v/>
      </c>
      <c r="O57" s="2" t="str">
        <f>IF(Data!$S$3&lt;Engine!O$1,0,Data!I58)</f>
        <v/>
      </c>
      <c r="P57" s="2" t="str">
        <f>IF(Data!$S$3&lt;Engine!P$1,0,Data!J58)</f>
        <v/>
      </c>
      <c r="Q57" s="11" t="str">
        <f>IF(Data!B58=1,Data!K58,"No Tips")</f>
        <v>No Tips</v>
      </c>
      <c r="R57" s="2" t="str">
        <f>Data!L58</f>
        <v/>
      </c>
      <c r="S57" s="2" t="str">
        <f>Data!M58</f>
        <v/>
      </c>
      <c r="T57" s="1" t="str">
        <f>IF(I57="","",COUNTIF('Live Ladder'!P:P,I57)+COUNTIF('Live Ladder'!P:P,J57)+COUNTIF('Live Ladder'!P:P,K57)+COUNTIF('Live Ladder'!P:P,L57)+COUNTIF('Live Ladder'!P:P,M57)+COUNTIF('Live Ladder'!P:P,N57)+COUNTIF('Live Ladder'!P:P,O57)+COUNTIF('Live Ladder'!P:P,P57))</f>
        <v/>
      </c>
      <c r="U57" s="1" t="str">
        <f>IF(I57="","",IF(COUNTIF('Live Ladder'!P:P,Engine!Q57)=1,2,IF(COUNTIF('Live Ladder'!Q:Q,Engine!Q57)=1,-2,0)))</f>
        <v/>
      </c>
      <c r="V57" s="1" t="str">
        <f>IF(I57="","",IF(T57=Data!S$3,2,0))</f>
        <v/>
      </c>
      <c r="W57" s="1">
        <f t="shared" si="11"/>
        <v>-2</v>
      </c>
      <c r="X57" s="1">
        <f>IF(I57="",AE$2,IF(I57='Live Ladder'!B$4,'Live Ladder'!C$4,'Live Ladder'!D$4)+IF(J57='Live Ladder'!B$5,'Live Ladder'!C$5,'Live Ladder'!D$5)+IF(K57='Live Ladder'!B$6,'Live Ladder'!C$6,'Live Ladder'!D$6)+IF(L57='Live Ladder'!B$7,'Live Ladder'!C$7,'Live Ladder'!D$7)+IF(M57='Live Ladder'!B$8,'Live Ladder'!C$8,'Live Ladder'!D$8)+IF(N57='Live Ladder'!B$9,'Live Ladder'!C$9,'Live Ladder'!D$9)+IF(O57='Live Ladder'!B$10,'Live Ladder'!C$10,'Live Ladder'!D$10)+IF(P57='Live Ladder'!B$11,'Live Ladder'!C$11,'Live Ladder'!D$11))</f>
        <v>18</v>
      </c>
      <c r="Y57" t="str">
        <f t="shared" si="17"/>
        <v/>
      </c>
      <c r="Z57" t="str">
        <f t="shared" si="12"/>
        <v/>
      </c>
      <c r="AA57" s="111" t="str">
        <f t="shared" si="13"/>
        <v/>
      </c>
      <c r="AB57">
        <f t="shared" si="16"/>
        <v>0</v>
      </c>
      <c r="AC57" t="str">
        <f>IF(I57="","",IF(I57='Live Ladder'!B$4,'Live Ladder'!C$4,'Live Ladder'!D$4)+IF(J57='Live Ladder'!B$5,'Live Ladder'!C$5,'Live Ladder'!D$5)+IF(K57='Live Ladder'!B$6,'Live Ladder'!C$6,'Live Ladder'!D$6)+IF(L57='Live Ladder'!B$7,'Live Ladder'!C$7,'Live Ladder'!D$7)+IF(M57='Live Ladder'!B$8,'Live Ladder'!C$8,'Live Ladder'!D$8)+IF(N57='Live Ladder'!B$9,'Live Ladder'!C$9,'Live Ladder'!D$9)+IF(O57='Live Ladder'!B$10,'Live Ladder'!C$10,'Live Ladder'!D$10)+IF(P57='Live Ladder'!B$11,'Live Ladder'!C$11,'Live Ladder'!D$11))</f>
        <v/>
      </c>
      <c r="AF57" t="str">
        <f>IF(I57="","",IF(Q57="",0,IF(AND(Q57&gt;0,COUNTIF('Stats Calculator'!$T$24:$AA$24,Q57)=1),HLOOKUP(Q57,'Stats Calculator'!$T$24:$AA$27,4,FALSE),IF(AND(Q57&gt;0,COUNTIF('Stats Calculator'!$T$25:$AA$25,Q57)=1),HLOOKUP(Q57,'Stats Calculator'!$T$25:$AA$27,3,FALSE)))))</f>
        <v/>
      </c>
      <c r="AG57" t="str">
        <f>IF(I57="","",COUNTIF(I57,'Stats Calculator'!E$31)+COUNTIF(J57,'Stats Calculator'!E$32)+COUNTIF(K57,'Stats Calculator'!E$33)+COUNTIF(L57,'Stats Calculator'!E$34)+COUNTIF(M57,'Stats Calculator'!E$35)+COUNTIF(N57,'Stats Calculator'!E$36)+COUNTIF(O57,'Stats Calculator'!E$37)+COUNTIF(P57,'Stats Calculator'!E$38)-8+Data!S$3)</f>
        <v/>
      </c>
      <c r="AH57" t="str">
        <f>IF(I57="","",IF(Q57="",0,IF(Q57=0,0,IF(VLOOKUP(Engine!AF57,'Stats Calculator'!B$31:E$38,4,FALSE)="",0,IF(VLOOKUP(Engine!AF57,'Stats Calculator'!B$31:E$38,4,FALSE)=Q57,2,-2)))))</f>
        <v/>
      </c>
      <c r="AI57" t="str">
        <f>IF(I57="","",Data!S$3-COUNTA('Stats Calculator'!E$31:E$38))</f>
        <v/>
      </c>
      <c r="AJ57" t="str">
        <f>IF(I57="","",IF(AF57=0,0,IF(VLOOKUP(AF57,'Stats Calculator'!B$31:E$38,4,FALSE)&gt;0,0,2)))</f>
        <v/>
      </c>
      <c r="AK57" t="str">
        <f>IF(I57="","",IF(Data!S$3-Engine!AI57=AG57,2,0))</f>
        <v/>
      </c>
      <c r="AL57" t="str">
        <f t="shared" si="14"/>
        <v/>
      </c>
    </row>
    <row r="58" spans="1:38" x14ac:dyDescent="0.35">
      <c r="A58">
        <v>57</v>
      </c>
      <c r="B58" t="str">
        <f t="shared" si="18"/>
        <v/>
      </c>
      <c r="C58" s="111" t="str">
        <f t="shared" si="8"/>
        <v/>
      </c>
      <c r="D58" t="str">
        <f t="shared" si="19"/>
        <v/>
      </c>
      <c r="E58" s="3" t="str">
        <f t="shared" si="9"/>
        <v/>
      </c>
      <c r="F58" t="str">
        <f t="shared" si="10"/>
        <v/>
      </c>
      <c r="G58">
        <v>37</v>
      </c>
      <c r="H58" t="str">
        <f>Data!A59</f>
        <v>ZZZZZZ Suspend</v>
      </c>
      <c r="I58" s="2" t="str">
        <f>Data!C59</f>
        <v/>
      </c>
      <c r="J58" s="2" t="str">
        <f>Data!D59</f>
        <v/>
      </c>
      <c r="K58" s="2" t="str">
        <f>Data!E59</f>
        <v/>
      </c>
      <c r="L58" s="2" t="str">
        <f>IF(Data!$S$3&lt;Engine!L$1,0,Data!F59)</f>
        <v/>
      </c>
      <c r="M58" s="2" t="str">
        <f>IF(Data!$S$3&lt;Engine!M$1,0,Data!G59)</f>
        <v/>
      </c>
      <c r="N58" s="2" t="str">
        <f>IF(Data!$S$3&lt;Engine!N$1,0,Data!H59)</f>
        <v/>
      </c>
      <c r="O58" s="2" t="str">
        <f>IF(Data!$S$3&lt;Engine!O$1,0,Data!I59)</f>
        <v/>
      </c>
      <c r="P58" s="2" t="str">
        <f>IF(Data!$S$3&lt;Engine!P$1,0,Data!J59)</f>
        <v/>
      </c>
      <c r="Q58" s="11" t="str">
        <f>IF(Data!B59=1,Data!K59,"No Tips")</f>
        <v>No Tips</v>
      </c>
      <c r="R58" s="2" t="str">
        <f>Data!L59</f>
        <v/>
      </c>
      <c r="S58" s="2" t="str">
        <f>Data!M59</f>
        <v/>
      </c>
      <c r="T58" s="1" t="str">
        <f>IF(I58="","",COUNTIF('Live Ladder'!P:P,I58)+COUNTIF('Live Ladder'!P:P,J58)+COUNTIF('Live Ladder'!P:P,K58)+COUNTIF('Live Ladder'!P:P,L58)+COUNTIF('Live Ladder'!P:P,M58)+COUNTIF('Live Ladder'!P:P,N58)+COUNTIF('Live Ladder'!P:P,O58)+COUNTIF('Live Ladder'!P:P,P58))</f>
        <v/>
      </c>
      <c r="U58" s="1" t="str">
        <f>IF(I58="","",IF(COUNTIF('Live Ladder'!P:P,Engine!Q58)=1,2,IF(COUNTIF('Live Ladder'!Q:Q,Engine!Q58)=1,-2,0)))</f>
        <v/>
      </c>
      <c r="V58" s="1" t="str">
        <f>IF(I58="","",IF(T58=Data!S$3,2,0))</f>
        <v/>
      </c>
      <c r="W58" s="1">
        <f t="shared" si="11"/>
        <v>-2</v>
      </c>
      <c r="X58" s="1">
        <f>IF(I58="",AE$2,IF(I58='Live Ladder'!B$4,'Live Ladder'!C$4,'Live Ladder'!D$4)+IF(J58='Live Ladder'!B$5,'Live Ladder'!C$5,'Live Ladder'!D$5)+IF(K58='Live Ladder'!B$6,'Live Ladder'!C$6,'Live Ladder'!D$6)+IF(L58='Live Ladder'!B$7,'Live Ladder'!C$7,'Live Ladder'!D$7)+IF(M58='Live Ladder'!B$8,'Live Ladder'!C$8,'Live Ladder'!D$8)+IF(N58='Live Ladder'!B$9,'Live Ladder'!C$9,'Live Ladder'!D$9)+IF(O58='Live Ladder'!B$10,'Live Ladder'!C$10,'Live Ladder'!D$10)+IF(P58='Live Ladder'!B$11,'Live Ladder'!C$11,'Live Ladder'!D$11))</f>
        <v>18</v>
      </c>
      <c r="Y58" t="str">
        <f t="shared" si="17"/>
        <v/>
      </c>
      <c r="Z58" t="str">
        <f t="shared" si="12"/>
        <v/>
      </c>
      <c r="AA58" s="111" t="str">
        <f t="shared" si="13"/>
        <v/>
      </c>
      <c r="AB58">
        <f t="shared" si="16"/>
        <v>0</v>
      </c>
      <c r="AC58" t="str">
        <f>IF(I58="","",IF(I58='Live Ladder'!B$4,'Live Ladder'!C$4,'Live Ladder'!D$4)+IF(J58='Live Ladder'!B$5,'Live Ladder'!C$5,'Live Ladder'!D$5)+IF(K58='Live Ladder'!B$6,'Live Ladder'!C$6,'Live Ladder'!D$6)+IF(L58='Live Ladder'!B$7,'Live Ladder'!C$7,'Live Ladder'!D$7)+IF(M58='Live Ladder'!B$8,'Live Ladder'!C$8,'Live Ladder'!D$8)+IF(N58='Live Ladder'!B$9,'Live Ladder'!C$9,'Live Ladder'!D$9)+IF(O58='Live Ladder'!B$10,'Live Ladder'!C$10,'Live Ladder'!D$10)+IF(P58='Live Ladder'!B$11,'Live Ladder'!C$11,'Live Ladder'!D$11))</f>
        <v/>
      </c>
      <c r="AF58" t="str">
        <f>IF(I58="","",IF(Q58="",0,IF(AND(Q58&gt;0,COUNTIF('Stats Calculator'!$T$24:$AA$24,Q58)=1),HLOOKUP(Q58,'Stats Calculator'!$T$24:$AA$27,4,FALSE),IF(AND(Q58&gt;0,COUNTIF('Stats Calculator'!$T$25:$AA$25,Q58)=1),HLOOKUP(Q58,'Stats Calculator'!$T$25:$AA$27,3,FALSE)))))</f>
        <v/>
      </c>
      <c r="AG58" t="str">
        <f>IF(I58="","",COUNTIF(I58,'Stats Calculator'!E$31)+COUNTIF(J58,'Stats Calculator'!E$32)+COUNTIF(K58,'Stats Calculator'!E$33)+COUNTIF(L58,'Stats Calculator'!E$34)+COUNTIF(M58,'Stats Calculator'!E$35)+COUNTIF(N58,'Stats Calculator'!E$36)+COUNTIF(O58,'Stats Calculator'!E$37)+COUNTIF(P58,'Stats Calculator'!E$38)-8+Data!S$3)</f>
        <v/>
      </c>
      <c r="AH58" t="str">
        <f>IF(I58="","",IF(Q58="",0,IF(Q58=0,0,IF(VLOOKUP(Engine!AF58,'Stats Calculator'!B$31:E$38,4,FALSE)="",0,IF(VLOOKUP(Engine!AF58,'Stats Calculator'!B$31:E$38,4,FALSE)=Q58,2,-2)))))</f>
        <v/>
      </c>
      <c r="AI58" t="str">
        <f>IF(I58="","",Data!S$3-COUNTA('Stats Calculator'!E$31:E$38))</f>
        <v/>
      </c>
      <c r="AJ58" t="str">
        <f>IF(I58="","",IF(AF58=0,0,IF(VLOOKUP(AF58,'Stats Calculator'!B$31:E$38,4,FALSE)&gt;0,0,2)))</f>
        <v/>
      </c>
      <c r="AK58" t="str">
        <f>IF(I58="","",IF(Data!S$3-Engine!AI58=AG58,2,0))</f>
        <v/>
      </c>
      <c r="AL58" t="str">
        <f t="shared" si="14"/>
        <v/>
      </c>
    </row>
    <row r="59" spans="1:38" x14ac:dyDescent="0.35">
      <c r="A59">
        <v>58</v>
      </c>
      <c r="B59" t="str">
        <f t="shared" si="18"/>
        <v/>
      </c>
      <c r="C59" s="111" t="str">
        <f t="shared" si="8"/>
        <v/>
      </c>
      <c r="D59" t="str">
        <f t="shared" si="19"/>
        <v/>
      </c>
      <c r="E59" s="3" t="str">
        <f t="shared" si="9"/>
        <v/>
      </c>
      <c r="F59" t="str">
        <f t="shared" si="10"/>
        <v/>
      </c>
      <c r="G59">
        <v>36</v>
      </c>
      <c r="H59" t="str">
        <f>Data!A60</f>
        <v>ZZZZZZ Suspend</v>
      </c>
      <c r="I59" s="2" t="str">
        <f>Data!C60</f>
        <v/>
      </c>
      <c r="J59" s="2" t="str">
        <f>Data!D60</f>
        <v/>
      </c>
      <c r="K59" s="2" t="str">
        <f>Data!E60</f>
        <v/>
      </c>
      <c r="L59" s="2" t="str">
        <f>IF(Data!$S$3&lt;Engine!L$1,0,Data!F60)</f>
        <v/>
      </c>
      <c r="M59" s="2" t="str">
        <f>IF(Data!$S$3&lt;Engine!M$1,0,Data!G60)</f>
        <v/>
      </c>
      <c r="N59" s="2" t="str">
        <f>IF(Data!$S$3&lt;Engine!N$1,0,Data!H60)</f>
        <v/>
      </c>
      <c r="O59" s="2" t="str">
        <f>IF(Data!$S$3&lt;Engine!O$1,0,Data!I60)</f>
        <v/>
      </c>
      <c r="P59" s="2" t="str">
        <f>IF(Data!$S$3&lt;Engine!P$1,0,Data!J60)</f>
        <v/>
      </c>
      <c r="Q59" s="11" t="str">
        <f>IF(Data!B60=1,Data!K60,"No Tips")</f>
        <v>No Tips</v>
      </c>
      <c r="R59" s="2" t="str">
        <f>Data!L60</f>
        <v/>
      </c>
      <c r="S59" s="2" t="str">
        <f>Data!M60</f>
        <v/>
      </c>
      <c r="T59" s="1" t="str">
        <f>IF(I59="","",COUNTIF('Live Ladder'!P:P,I59)+COUNTIF('Live Ladder'!P:P,J59)+COUNTIF('Live Ladder'!P:P,K59)+COUNTIF('Live Ladder'!P:P,L59)+COUNTIF('Live Ladder'!P:P,M59)+COUNTIF('Live Ladder'!P:P,N59)+COUNTIF('Live Ladder'!P:P,O59)+COUNTIF('Live Ladder'!P:P,P59))</f>
        <v/>
      </c>
      <c r="U59" s="1" t="str">
        <f>IF(I59="","",IF(COUNTIF('Live Ladder'!P:P,Engine!Q59)=1,2,IF(COUNTIF('Live Ladder'!Q:Q,Engine!Q59)=1,-2,0)))</f>
        <v/>
      </c>
      <c r="V59" s="1" t="str">
        <f>IF(I59="","",IF(T59=Data!S$3,2,0))</f>
        <v/>
      </c>
      <c r="W59" s="1">
        <f t="shared" si="11"/>
        <v>-2</v>
      </c>
      <c r="X59" s="1">
        <f>IF(I59="",AE$2,IF(I59='Live Ladder'!B$4,'Live Ladder'!C$4,'Live Ladder'!D$4)+IF(J59='Live Ladder'!B$5,'Live Ladder'!C$5,'Live Ladder'!D$5)+IF(K59='Live Ladder'!B$6,'Live Ladder'!C$6,'Live Ladder'!D$6)+IF(L59='Live Ladder'!B$7,'Live Ladder'!C$7,'Live Ladder'!D$7)+IF(M59='Live Ladder'!B$8,'Live Ladder'!C$8,'Live Ladder'!D$8)+IF(N59='Live Ladder'!B$9,'Live Ladder'!C$9,'Live Ladder'!D$9)+IF(O59='Live Ladder'!B$10,'Live Ladder'!C$10,'Live Ladder'!D$10)+IF(P59='Live Ladder'!B$11,'Live Ladder'!C$11,'Live Ladder'!D$11))</f>
        <v>18</v>
      </c>
      <c r="Y59" t="str">
        <f t="shared" si="17"/>
        <v/>
      </c>
      <c r="Z59" t="str">
        <f t="shared" si="12"/>
        <v/>
      </c>
      <c r="AA59" s="111" t="str">
        <f t="shared" si="13"/>
        <v/>
      </c>
      <c r="AB59">
        <f t="shared" si="16"/>
        <v>0</v>
      </c>
      <c r="AC59" t="str">
        <f>IF(I59="","",IF(I59='Live Ladder'!B$4,'Live Ladder'!C$4,'Live Ladder'!D$4)+IF(J59='Live Ladder'!B$5,'Live Ladder'!C$5,'Live Ladder'!D$5)+IF(K59='Live Ladder'!B$6,'Live Ladder'!C$6,'Live Ladder'!D$6)+IF(L59='Live Ladder'!B$7,'Live Ladder'!C$7,'Live Ladder'!D$7)+IF(M59='Live Ladder'!B$8,'Live Ladder'!C$8,'Live Ladder'!D$8)+IF(N59='Live Ladder'!B$9,'Live Ladder'!C$9,'Live Ladder'!D$9)+IF(O59='Live Ladder'!B$10,'Live Ladder'!C$10,'Live Ladder'!D$10)+IF(P59='Live Ladder'!B$11,'Live Ladder'!C$11,'Live Ladder'!D$11))</f>
        <v/>
      </c>
      <c r="AF59" t="str">
        <f>IF(I59="","",IF(Q59="",0,IF(AND(Q59&gt;0,COUNTIF('Stats Calculator'!$T$24:$AA$24,Q59)=1),HLOOKUP(Q59,'Stats Calculator'!$T$24:$AA$27,4,FALSE),IF(AND(Q59&gt;0,COUNTIF('Stats Calculator'!$T$25:$AA$25,Q59)=1),HLOOKUP(Q59,'Stats Calculator'!$T$25:$AA$27,3,FALSE)))))</f>
        <v/>
      </c>
      <c r="AG59" t="str">
        <f>IF(I59="","",COUNTIF(I59,'Stats Calculator'!E$31)+COUNTIF(J59,'Stats Calculator'!E$32)+COUNTIF(K59,'Stats Calculator'!E$33)+COUNTIF(L59,'Stats Calculator'!E$34)+COUNTIF(M59,'Stats Calculator'!E$35)+COUNTIF(N59,'Stats Calculator'!E$36)+COUNTIF(O59,'Stats Calculator'!E$37)+COUNTIF(P59,'Stats Calculator'!E$38)-8+Data!S$3)</f>
        <v/>
      </c>
      <c r="AH59" t="str">
        <f>IF(I59="","",IF(Q59="",0,IF(Q59=0,0,IF(VLOOKUP(Engine!AF59,'Stats Calculator'!B$31:E$38,4,FALSE)="",0,IF(VLOOKUP(Engine!AF59,'Stats Calculator'!B$31:E$38,4,FALSE)=Q59,2,-2)))))</f>
        <v/>
      </c>
      <c r="AI59" t="str">
        <f>IF(I59="","",Data!S$3-COUNTA('Stats Calculator'!E$31:E$38))</f>
        <v/>
      </c>
      <c r="AJ59" t="str">
        <f>IF(I59="","",IF(AF59=0,0,IF(VLOOKUP(AF59,'Stats Calculator'!B$31:E$38,4,FALSE)&gt;0,0,2)))</f>
        <v/>
      </c>
      <c r="AK59" t="str">
        <f>IF(I59="","",IF(Data!S$3-Engine!AI59=AG59,2,0))</f>
        <v/>
      </c>
      <c r="AL59" t="str">
        <f t="shared" si="14"/>
        <v/>
      </c>
    </row>
    <row r="60" spans="1:38" x14ac:dyDescent="0.35">
      <c r="A60">
        <v>59</v>
      </c>
      <c r="B60" t="str">
        <f t="shared" si="18"/>
        <v/>
      </c>
      <c r="C60" s="111" t="str">
        <f t="shared" si="8"/>
        <v/>
      </c>
      <c r="D60" t="str">
        <f t="shared" si="19"/>
        <v/>
      </c>
      <c r="E60" s="3" t="str">
        <f t="shared" si="9"/>
        <v/>
      </c>
      <c r="F60" t="str">
        <f t="shared" si="10"/>
        <v/>
      </c>
      <c r="G60">
        <v>26</v>
      </c>
      <c r="H60" t="str">
        <f>Data!A70</f>
        <v>ZZZZZZ Suspend</v>
      </c>
      <c r="I60" s="2" t="str">
        <f>Data!C70</f>
        <v/>
      </c>
      <c r="J60" s="2" t="str">
        <f>Data!D70</f>
        <v/>
      </c>
      <c r="K60" s="2" t="str">
        <f>Data!E70</f>
        <v/>
      </c>
      <c r="L60" s="2" t="str">
        <f>IF(Data!$S$3&lt;Engine!L$1,0,Data!F70)</f>
        <v/>
      </c>
      <c r="M60" s="2" t="str">
        <f>IF(Data!$S$3&lt;Engine!M$1,0,Data!G70)</f>
        <v/>
      </c>
      <c r="N60" s="2" t="str">
        <f>IF(Data!$S$3&lt;Engine!N$1,0,Data!H70)</f>
        <v/>
      </c>
      <c r="O60" s="2" t="str">
        <f>IF(Data!$S$3&lt;Engine!O$1,0,Data!I70)</f>
        <v/>
      </c>
      <c r="P60" s="2" t="str">
        <f>IF(Data!$S$3&lt;Engine!P$1,0,Data!J70)</f>
        <v/>
      </c>
      <c r="Q60" s="11" t="str">
        <f>IF(Data!B70=1,Data!K70,"No Tips")</f>
        <v>No Tips</v>
      </c>
      <c r="R60" s="2" t="str">
        <f>Data!L70</f>
        <v/>
      </c>
      <c r="S60" s="2" t="str">
        <f>Data!M70</f>
        <v/>
      </c>
      <c r="T60" s="1" t="str">
        <f>IF(I60="","",COUNTIF('Live Ladder'!P:P,I60)+COUNTIF('Live Ladder'!P:P,J60)+COUNTIF('Live Ladder'!P:P,K60)+COUNTIF('Live Ladder'!P:P,L60)+COUNTIF('Live Ladder'!P:P,M60)+COUNTIF('Live Ladder'!P:P,N60)+COUNTIF('Live Ladder'!P:P,O60)+COUNTIF('Live Ladder'!P:P,P60))</f>
        <v/>
      </c>
      <c r="U60" s="1" t="str">
        <f>IF(I60="","",IF(COUNTIF('Live Ladder'!P:P,Engine!Q60)=1,2,IF(COUNTIF('Live Ladder'!Q:Q,Engine!Q60)=1,-2,0)))</f>
        <v/>
      </c>
      <c r="V60" s="1" t="str">
        <f>IF(I60="","",IF(T60=Data!S$3,2,0))</f>
        <v/>
      </c>
      <c r="W60" s="1">
        <f t="shared" si="11"/>
        <v>-2</v>
      </c>
      <c r="X60" s="1">
        <f>IF(I60="",AE$2,IF(I60='Live Ladder'!B$4,'Live Ladder'!C$4,'Live Ladder'!D$4)+IF(J60='Live Ladder'!B$5,'Live Ladder'!C$5,'Live Ladder'!D$5)+IF(K60='Live Ladder'!B$6,'Live Ladder'!C$6,'Live Ladder'!D$6)+IF(L60='Live Ladder'!B$7,'Live Ladder'!C$7,'Live Ladder'!D$7)+IF(M60='Live Ladder'!B$8,'Live Ladder'!C$8,'Live Ladder'!D$8)+IF(N60='Live Ladder'!B$9,'Live Ladder'!C$9,'Live Ladder'!D$9)+IF(O60='Live Ladder'!B$10,'Live Ladder'!C$10,'Live Ladder'!D$10)+IF(P60='Live Ladder'!B$11,'Live Ladder'!C$11,'Live Ladder'!D$11))</f>
        <v>18</v>
      </c>
      <c r="Y60" t="str">
        <f t="shared" si="17"/>
        <v/>
      </c>
      <c r="Z60" t="str">
        <f t="shared" si="12"/>
        <v/>
      </c>
      <c r="AA60" s="111" t="str">
        <f t="shared" si="13"/>
        <v/>
      </c>
      <c r="AB60">
        <f t="shared" si="16"/>
        <v>0</v>
      </c>
      <c r="AC60" t="str">
        <f>IF(I60="","",IF(I60='Live Ladder'!B$4,'Live Ladder'!C$4,'Live Ladder'!D$4)+IF(J60='Live Ladder'!B$5,'Live Ladder'!C$5,'Live Ladder'!D$5)+IF(K60='Live Ladder'!B$6,'Live Ladder'!C$6,'Live Ladder'!D$6)+IF(L60='Live Ladder'!B$7,'Live Ladder'!C$7,'Live Ladder'!D$7)+IF(M60='Live Ladder'!B$8,'Live Ladder'!C$8,'Live Ladder'!D$8)+IF(N60='Live Ladder'!B$9,'Live Ladder'!C$9,'Live Ladder'!D$9)+IF(O60='Live Ladder'!B$10,'Live Ladder'!C$10,'Live Ladder'!D$10)+IF(P60='Live Ladder'!B$11,'Live Ladder'!C$11,'Live Ladder'!D$11))</f>
        <v/>
      </c>
      <c r="AF60" t="str">
        <f>IF(I60="","",IF(Q60="",0,IF(AND(Q60&gt;0,COUNTIF('Stats Calculator'!$T$24:$AA$24,Q60)=1),HLOOKUP(Q60,'Stats Calculator'!$T$24:$AA$27,4,FALSE),IF(AND(Q60&gt;0,COUNTIF('Stats Calculator'!$T$25:$AA$25,Q60)=1),HLOOKUP(Q60,'Stats Calculator'!$T$25:$AA$27,3,FALSE)))))</f>
        <v/>
      </c>
      <c r="AG60" t="str">
        <f>IF(I60="","",COUNTIF(I60,'Stats Calculator'!E$31)+COUNTIF(J60,'Stats Calculator'!E$32)+COUNTIF(K60,'Stats Calculator'!E$33)+COUNTIF(L60,'Stats Calculator'!E$34)+COUNTIF(M60,'Stats Calculator'!E$35)+COUNTIF(N60,'Stats Calculator'!E$36)+COUNTIF(O60,'Stats Calculator'!E$37)+COUNTIF(P60,'Stats Calculator'!E$38)-8+Data!S$3)</f>
        <v/>
      </c>
      <c r="AH60" t="str">
        <f>IF(I60="","",IF(Q60="",0,IF(Q60=0,0,IF(VLOOKUP(Engine!AF60,'Stats Calculator'!B$31:E$38,4,FALSE)="",0,IF(VLOOKUP(Engine!AF60,'Stats Calculator'!B$31:E$38,4,FALSE)=Q60,2,-2)))))</f>
        <v/>
      </c>
      <c r="AI60" t="str">
        <f>IF(I60="","",Data!S$3-COUNTA('Stats Calculator'!E$31:E$38))</f>
        <v/>
      </c>
      <c r="AJ60" t="str">
        <f>IF(I60="","",IF(AF60=0,0,IF(VLOOKUP(AF60,'Stats Calculator'!B$31:E$38,4,FALSE)&gt;0,0,2)))</f>
        <v/>
      </c>
      <c r="AK60" t="str">
        <f>IF(I60="","",IF(Data!S$3-Engine!AI60=AG60,2,0))</f>
        <v/>
      </c>
      <c r="AL60" t="str">
        <f t="shared" si="14"/>
        <v/>
      </c>
    </row>
    <row r="61" spans="1:38" x14ac:dyDescent="0.35">
      <c r="A61">
        <v>60</v>
      </c>
      <c r="B61" t="str">
        <f t="shared" si="18"/>
        <v/>
      </c>
      <c r="C61" s="111" t="str">
        <f t="shared" si="8"/>
        <v/>
      </c>
      <c r="D61" t="str">
        <f t="shared" si="19"/>
        <v/>
      </c>
      <c r="E61" s="3" t="str">
        <f t="shared" si="9"/>
        <v/>
      </c>
      <c r="F61" t="str">
        <f t="shared" si="10"/>
        <v/>
      </c>
      <c r="G61">
        <v>35</v>
      </c>
      <c r="H61" t="str">
        <f>Data!A61</f>
        <v>ZZZZZZ Suspend</v>
      </c>
      <c r="I61" s="2" t="str">
        <f>Data!C61</f>
        <v/>
      </c>
      <c r="J61" s="2" t="str">
        <f>Data!D61</f>
        <v/>
      </c>
      <c r="K61" s="2" t="str">
        <f>Data!E61</f>
        <v/>
      </c>
      <c r="L61" s="2" t="str">
        <f>IF(Data!$S$3&lt;Engine!L$1,0,Data!F61)</f>
        <v/>
      </c>
      <c r="M61" s="2" t="str">
        <f>IF(Data!$S$3&lt;Engine!M$1,0,Data!G61)</f>
        <v/>
      </c>
      <c r="N61" s="2" t="str">
        <f>IF(Data!$S$3&lt;Engine!N$1,0,Data!H61)</f>
        <v/>
      </c>
      <c r="O61" s="2" t="str">
        <f>IF(Data!$S$3&lt;Engine!O$1,0,Data!I61)</f>
        <v/>
      </c>
      <c r="P61" s="2" t="str">
        <f>IF(Data!$S$3&lt;Engine!P$1,0,Data!J61)</f>
        <v/>
      </c>
      <c r="Q61" s="11" t="str">
        <f>IF(Data!B61=1,Data!K61,"No Tips")</f>
        <v>No Tips</v>
      </c>
      <c r="R61" s="2" t="str">
        <f>Data!L61</f>
        <v/>
      </c>
      <c r="S61" s="2" t="str">
        <f>Data!M61</f>
        <v/>
      </c>
      <c r="T61" s="1" t="str">
        <f>IF(I61="","",COUNTIF('Live Ladder'!P:P,I61)+COUNTIF('Live Ladder'!P:P,J61)+COUNTIF('Live Ladder'!P:P,K61)+COUNTIF('Live Ladder'!P:P,L61)+COUNTIF('Live Ladder'!P:P,M61)+COUNTIF('Live Ladder'!P:P,N61)+COUNTIF('Live Ladder'!P:P,O61)+COUNTIF('Live Ladder'!P:P,P61))</f>
        <v/>
      </c>
      <c r="U61" s="1" t="str">
        <f>IF(I61="","",IF(COUNTIF('Live Ladder'!P:P,Engine!Q61)=1,2,IF(COUNTIF('Live Ladder'!Q:Q,Engine!Q61)=1,-2,0)))</f>
        <v/>
      </c>
      <c r="V61" s="1" t="str">
        <f>IF(I61="","",IF(T61=Data!S$3,2,0))</f>
        <v/>
      </c>
      <c r="W61" s="1">
        <f t="shared" si="11"/>
        <v>-2</v>
      </c>
      <c r="X61" s="1">
        <f>IF(I61="",AE$2,IF(I61='Live Ladder'!B$4,'Live Ladder'!C$4,'Live Ladder'!D$4)+IF(J61='Live Ladder'!B$5,'Live Ladder'!C$5,'Live Ladder'!D$5)+IF(K61='Live Ladder'!B$6,'Live Ladder'!C$6,'Live Ladder'!D$6)+IF(L61='Live Ladder'!B$7,'Live Ladder'!C$7,'Live Ladder'!D$7)+IF(M61='Live Ladder'!B$8,'Live Ladder'!C$8,'Live Ladder'!D$8)+IF(N61='Live Ladder'!B$9,'Live Ladder'!C$9,'Live Ladder'!D$9)+IF(O61='Live Ladder'!B$10,'Live Ladder'!C$10,'Live Ladder'!D$10)+IF(P61='Live Ladder'!B$11,'Live Ladder'!C$11,'Live Ladder'!D$11))</f>
        <v>18</v>
      </c>
      <c r="Y61" t="str">
        <f t="shared" si="17"/>
        <v/>
      </c>
      <c r="Z61" t="str">
        <f t="shared" si="12"/>
        <v/>
      </c>
      <c r="AA61" s="111" t="str">
        <f t="shared" si="13"/>
        <v/>
      </c>
      <c r="AB61">
        <f t="shared" si="16"/>
        <v>0</v>
      </c>
      <c r="AC61" t="str">
        <f>IF(I61="","",IF(I61='Live Ladder'!B$4,'Live Ladder'!C$4,'Live Ladder'!D$4)+IF(J61='Live Ladder'!B$5,'Live Ladder'!C$5,'Live Ladder'!D$5)+IF(K61='Live Ladder'!B$6,'Live Ladder'!C$6,'Live Ladder'!D$6)+IF(L61='Live Ladder'!B$7,'Live Ladder'!C$7,'Live Ladder'!D$7)+IF(M61='Live Ladder'!B$8,'Live Ladder'!C$8,'Live Ladder'!D$8)+IF(N61='Live Ladder'!B$9,'Live Ladder'!C$9,'Live Ladder'!D$9)+IF(O61='Live Ladder'!B$10,'Live Ladder'!C$10,'Live Ladder'!D$10)+IF(P61='Live Ladder'!B$11,'Live Ladder'!C$11,'Live Ladder'!D$11))</f>
        <v/>
      </c>
      <c r="AF61" t="str">
        <f>IF(I61="","",IF(Q61="",0,IF(AND(Q61&gt;0,COUNTIF('Stats Calculator'!$T$24:$AA$24,Q61)=1),HLOOKUP(Q61,'Stats Calculator'!$T$24:$AA$27,4,FALSE),IF(AND(Q61&gt;0,COUNTIF('Stats Calculator'!$T$25:$AA$25,Q61)=1),HLOOKUP(Q61,'Stats Calculator'!$T$25:$AA$27,3,FALSE)))))</f>
        <v/>
      </c>
      <c r="AG61" t="str">
        <f>IF(I61="","",COUNTIF(I61,'Stats Calculator'!E$31)+COUNTIF(J61,'Stats Calculator'!E$32)+COUNTIF(K61,'Stats Calculator'!E$33)+COUNTIF(L61,'Stats Calculator'!E$34)+COUNTIF(M61,'Stats Calculator'!E$35)+COUNTIF(N61,'Stats Calculator'!E$36)+COUNTIF(O61,'Stats Calculator'!E$37)+COUNTIF(P61,'Stats Calculator'!E$38)-8+Data!S$3)</f>
        <v/>
      </c>
      <c r="AH61" t="str">
        <f>IF(I61="","",IF(Q61="",0,IF(Q61=0,0,IF(VLOOKUP(Engine!AF61,'Stats Calculator'!B$31:E$38,4,FALSE)="",0,IF(VLOOKUP(Engine!AF61,'Stats Calculator'!B$31:E$38,4,FALSE)=Q61,2,-2)))))</f>
        <v/>
      </c>
      <c r="AI61" t="str">
        <f>IF(I61="","",Data!S$3-COUNTA('Stats Calculator'!E$31:E$38))</f>
        <v/>
      </c>
      <c r="AJ61" t="str">
        <f>IF(I61="","",IF(AF61=0,0,IF(VLOOKUP(AF61,'Stats Calculator'!B$31:E$38,4,FALSE)&gt;0,0,2)))</f>
        <v/>
      </c>
      <c r="AK61" t="str">
        <f>IF(I61="","",IF(Data!S$3-Engine!AI61=AG61,2,0))</f>
        <v/>
      </c>
      <c r="AL61" t="str">
        <f t="shared" si="14"/>
        <v/>
      </c>
    </row>
    <row r="62" spans="1:38" x14ac:dyDescent="0.35">
      <c r="A62">
        <v>61</v>
      </c>
      <c r="B62" t="str">
        <f t="shared" si="18"/>
        <v/>
      </c>
      <c r="C62" s="111" t="str">
        <f t="shared" si="8"/>
        <v/>
      </c>
      <c r="D62" t="str">
        <f t="shared" si="19"/>
        <v/>
      </c>
      <c r="E62" s="3" t="str">
        <f t="shared" si="9"/>
        <v/>
      </c>
      <c r="F62" t="str">
        <f t="shared" si="10"/>
        <v/>
      </c>
      <c r="G62">
        <v>34</v>
      </c>
      <c r="H62" t="str">
        <f>Data!A62</f>
        <v>ZZZZZZ Suspend</v>
      </c>
      <c r="I62" s="2" t="str">
        <f>Data!C62</f>
        <v/>
      </c>
      <c r="J62" s="2" t="str">
        <f>Data!D62</f>
        <v/>
      </c>
      <c r="K62" s="2" t="str">
        <f>Data!E62</f>
        <v/>
      </c>
      <c r="L62" s="2" t="str">
        <f>IF(Data!$S$3&lt;Engine!L$1,0,Data!F62)</f>
        <v/>
      </c>
      <c r="M62" s="2" t="str">
        <f>IF(Data!$S$3&lt;Engine!M$1,0,Data!G62)</f>
        <v/>
      </c>
      <c r="N62" s="2" t="str">
        <f>IF(Data!$S$3&lt;Engine!N$1,0,Data!H62)</f>
        <v/>
      </c>
      <c r="O62" s="2" t="str">
        <f>IF(Data!$S$3&lt;Engine!O$1,0,Data!I62)</f>
        <v/>
      </c>
      <c r="P62" s="2" t="str">
        <f>IF(Data!$S$3&lt;Engine!P$1,0,Data!J62)</f>
        <v/>
      </c>
      <c r="Q62" s="11" t="str">
        <f>IF(Data!B62=1,Data!K62,"No Tips")</f>
        <v>No Tips</v>
      </c>
      <c r="R62" s="2" t="str">
        <f>Data!L62</f>
        <v/>
      </c>
      <c r="S62" s="2" t="str">
        <f>Data!M62</f>
        <v/>
      </c>
      <c r="T62" s="1" t="str">
        <f>IF(I62="","",COUNTIF('Live Ladder'!P:P,I62)+COUNTIF('Live Ladder'!P:P,J62)+COUNTIF('Live Ladder'!P:P,K62)+COUNTIF('Live Ladder'!P:P,L62)+COUNTIF('Live Ladder'!P:P,M62)+COUNTIF('Live Ladder'!P:P,N62)+COUNTIF('Live Ladder'!P:P,O62)+COUNTIF('Live Ladder'!P:P,P62))</f>
        <v/>
      </c>
      <c r="U62" s="1" t="str">
        <f>IF(I62="","",IF(COUNTIF('Live Ladder'!P:P,Engine!Q62)=1,2,IF(COUNTIF('Live Ladder'!Q:Q,Engine!Q62)=1,-2,0)))</f>
        <v/>
      </c>
      <c r="V62" s="1" t="str">
        <f>IF(I62="","",IF(T62=Data!S$3,2,0))</f>
        <v/>
      </c>
      <c r="W62" s="1">
        <f t="shared" si="11"/>
        <v>-2</v>
      </c>
      <c r="X62" s="1">
        <f>IF(I62="",AE$2,IF(I62='Live Ladder'!B$4,'Live Ladder'!C$4,'Live Ladder'!D$4)+IF(J62='Live Ladder'!B$5,'Live Ladder'!C$5,'Live Ladder'!D$5)+IF(K62='Live Ladder'!B$6,'Live Ladder'!C$6,'Live Ladder'!D$6)+IF(L62='Live Ladder'!B$7,'Live Ladder'!C$7,'Live Ladder'!D$7)+IF(M62='Live Ladder'!B$8,'Live Ladder'!C$8,'Live Ladder'!D$8)+IF(N62='Live Ladder'!B$9,'Live Ladder'!C$9,'Live Ladder'!D$9)+IF(O62='Live Ladder'!B$10,'Live Ladder'!C$10,'Live Ladder'!D$10)+IF(P62='Live Ladder'!B$11,'Live Ladder'!C$11,'Live Ladder'!D$11))</f>
        <v>18</v>
      </c>
      <c r="Y62" t="str">
        <f t="shared" si="17"/>
        <v/>
      </c>
      <c r="Z62" t="str">
        <f t="shared" si="12"/>
        <v/>
      </c>
      <c r="AA62" s="111" t="str">
        <f t="shared" si="13"/>
        <v/>
      </c>
      <c r="AB62">
        <f t="shared" si="16"/>
        <v>0</v>
      </c>
      <c r="AC62" t="str">
        <f>IF(I62="","",IF(I62='Live Ladder'!B$4,'Live Ladder'!C$4,'Live Ladder'!D$4)+IF(J62='Live Ladder'!B$5,'Live Ladder'!C$5,'Live Ladder'!D$5)+IF(K62='Live Ladder'!B$6,'Live Ladder'!C$6,'Live Ladder'!D$6)+IF(L62='Live Ladder'!B$7,'Live Ladder'!C$7,'Live Ladder'!D$7)+IF(M62='Live Ladder'!B$8,'Live Ladder'!C$8,'Live Ladder'!D$8)+IF(N62='Live Ladder'!B$9,'Live Ladder'!C$9,'Live Ladder'!D$9)+IF(O62='Live Ladder'!B$10,'Live Ladder'!C$10,'Live Ladder'!D$10)+IF(P62='Live Ladder'!B$11,'Live Ladder'!C$11,'Live Ladder'!D$11))</f>
        <v/>
      </c>
      <c r="AF62" t="str">
        <f>IF(I62="","",IF(Q62="",0,IF(AND(Q62&gt;0,COUNTIF('Stats Calculator'!$T$24:$AA$24,Q62)=1),HLOOKUP(Q62,'Stats Calculator'!$T$24:$AA$27,4,FALSE),IF(AND(Q62&gt;0,COUNTIF('Stats Calculator'!$T$25:$AA$25,Q62)=1),HLOOKUP(Q62,'Stats Calculator'!$T$25:$AA$27,3,FALSE)))))</f>
        <v/>
      </c>
      <c r="AG62" t="str">
        <f>IF(I62="","",COUNTIF(I62,'Stats Calculator'!E$31)+COUNTIF(J62,'Stats Calculator'!E$32)+COUNTIF(K62,'Stats Calculator'!E$33)+COUNTIF(L62,'Stats Calculator'!E$34)+COUNTIF(M62,'Stats Calculator'!E$35)+COUNTIF(N62,'Stats Calculator'!E$36)+COUNTIF(O62,'Stats Calculator'!E$37)+COUNTIF(P62,'Stats Calculator'!E$38)-8+Data!S$3)</f>
        <v/>
      </c>
      <c r="AH62" t="str">
        <f>IF(I62="","",IF(Q62="",0,IF(Q62=0,0,IF(VLOOKUP(Engine!AF62,'Stats Calculator'!B$31:E$38,4,FALSE)="",0,IF(VLOOKUP(Engine!AF62,'Stats Calculator'!B$31:E$38,4,FALSE)=Q62,2,-2)))))</f>
        <v/>
      </c>
      <c r="AI62" t="str">
        <f>IF(I62="","",Data!S$3-COUNTA('Stats Calculator'!E$31:E$38))</f>
        <v/>
      </c>
      <c r="AJ62" t="str">
        <f>IF(I62="","",IF(AF62=0,0,IF(VLOOKUP(AF62,'Stats Calculator'!B$31:E$38,4,FALSE)&gt;0,0,2)))</f>
        <v/>
      </c>
      <c r="AK62" t="str">
        <f>IF(I62="","",IF(Data!S$3-Engine!AI62=AG62,2,0))</f>
        <v/>
      </c>
      <c r="AL62" t="str">
        <f t="shared" si="14"/>
        <v/>
      </c>
    </row>
    <row r="63" spans="1:38" x14ac:dyDescent="0.35">
      <c r="A63">
        <v>62</v>
      </c>
      <c r="B63" t="str">
        <f t="shared" si="18"/>
        <v/>
      </c>
      <c r="C63" s="111" t="str">
        <f t="shared" si="8"/>
        <v/>
      </c>
      <c r="D63" t="str">
        <f t="shared" si="19"/>
        <v/>
      </c>
      <c r="E63" s="3" t="str">
        <f t="shared" si="9"/>
        <v/>
      </c>
      <c r="F63" t="str">
        <f t="shared" si="10"/>
        <v/>
      </c>
      <c r="G63">
        <v>33</v>
      </c>
      <c r="H63" t="str">
        <f>Data!A63</f>
        <v>ZZZZZZ Suspend</v>
      </c>
      <c r="I63" s="2" t="str">
        <f>Data!C63</f>
        <v/>
      </c>
      <c r="J63" s="2" t="str">
        <f>Data!D63</f>
        <v/>
      </c>
      <c r="K63" s="2" t="str">
        <f>Data!E63</f>
        <v/>
      </c>
      <c r="L63" s="2" t="str">
        <f>IF(Data!$S$3&lt;Engine!L$1,0,Data!F63)</f>
        <v/>
      </c>
      <c r="M63" s="2" t="str">
        <f>IF(Data!$S$3&lt;Engine!M$1,0,Data!G63)</f>
        <v/>
      </c>
      <c r="N63" s="2" t="str">
        <f>IF(Data!$S$3&lt;Engine!N$1,0,Data!H63)</f>
        <v/>
      </c>
      <c r="O63" s="2" t="str">
        <f>IF(Data!$S$3&lt;Engine!O$1,0,Data!I63)</f>
        <v/>
      </c>
      <c r="P63" s="2" t="str">
        <f>IF(Data!$S$3&lt;Engine!P$1,0,Data!J63)</f>
        <v/>
      </c>
      <c r="Q63" s="11" t="str">
        <f>IF(Data!B63=1,Data!K63,"No Tips")</f>
        <v>No Tips</v>
      </c>
      <c r="R63" s="2" t="str">
        <f>Data!L63</f>
        <v/>
      </c>
      <c r="S63" s="2" t="str">
        <f>Data!M63</f>
        <v/>
      </c>
      <c r="T63" s="1" t="str">
        <f>IF(I63="","",COUNTIF('Live Ladder'!P:P,I63)+COUNTIF('Live Ladder'!P:P,J63)+COUNTIF('Live Ladder'!P:P,K63)+COUNTIF('Live Ladder'!P:P,L63)+COUNTIF('Live Ladder'!P:P,M63)+COUNTIF('Live Ladder'!P:P,N63)+COUNTIF('Live Ladder'!P:P,O63)+COUNTIF('Live Ladder'!P:P,P63))</f>
        <v/>
      </c>
      <c r="U63" s="1" t="str">
        <f>IF(I63="","",IF(COUNTIF('Live Ladder'!P:P,Engine!Q63)=1,2,IF(COUNTIF('Live Ladder'!Q:Q,Engine!Q63)=1,-2,0)))</f>
        <v/>
      </c>
      <c r="V63" s="1" t="str">
        <f>IF(I63="","",IF(T63=Data!S$3,2,0))</f>
        <v/>
      </c>
      <c r="W63" s="1">
        <f t="shared" si="11"/>
        <v>-2</v>
      </c>
      <c r="X63" s="1">
        <f>IF(I63="",AE$2,IF(I63='Live Ladder'!B$4,'Live Ladder'!C$4,'Live Ladder'!D$4)+IF(J63='Live Ladder'!B$5,'Live Ladder'!C$5,'Live Ladder'!D$5)+IF(K63='Live Ladder'!B$6,'Live Ladder'!C$6,'Live Ladder'!D$6)+IF(L63='Live Ladder'!B$7,'Live Ladder'!C$7,'Live Ladder'!D$7)+IF(M63='Live Ladder'!B$8,'Live Ladder'!C$8,'Live Ladder'!D$8)+IF(N63='Live Ladder'!B$9,'Live Ladder'!C$9,'Live Ladder'!D$9)+IF(O63='Live Ladder'!B$10,'Live Ladder'!C$10,'Live Ladder'!D$10)+IF(P63='Live Ladder'!B$11,'Live Ladder'!C$11,'Live Ladder'!D$11))</f>
        <v>18</v>
      </c>
      <c r="Y63" t="str">
        <f t="shared" si="17"/>
        <v/>
      </c>
      <c r="Z63" t="str">
        <f t="shared" si="12"/>
        <v/>
      </c>
      <c r="AA63" s="111" t="str">
        <f t="shared" si="13"/>
        <v/>
      </c>
      <c r="AB63">
        <f t="shared" si="16"/>
        <v>0</v>
      </c>
      <c r="AC63" t="str">
        <f>IF(I63="","",IF(I63='Live Ladder'!B$4,'Live Ladder'!C$4,'Live Ladder'!D$4)+IF(J63='Live Ladder'!B$5,'Live Ladder'!C$5,'Live Ladder'!D$5)+IF(K63='Live Ladder'!B$6,'Live Ladder'!C$6,'Live Ladder'!D$6)+IF(L63='Live Ladder'!B$7,'Live Ladder'!C$7,'Live Ladder'!D$7)+IF(M63='Live Ladder'!B$8,'Live Ladder'!C$8,'Live Ladder'!D$8)+IF(N63='Live Ladder'!B$9,'Live Ladder'!C$9,'Live Ladder'!D$9)+IF(O63='Live Ladder'!B$10,'Live Ladder'!C$10,'Live Ladder'!D$10)+IF(P63='Live Ladder'!B$11,'Live Ladder'!C$11,'Live Ladder'!D$11))</f>
        <v/>
      </c>
      <c r="AF63" t="str">
        <f>IF(I63="","",IF(Q63="",0,IF(AND(Q63&gt;0,COUNTIF('Stats Calculator'!$T$24:$AA$24,Q63)=1),HLOOKUP(Q63,'Stats Calculator'!$T$24:$AA$27,4,FALSE),IF(AND(Q63&gt;0,COUNTIF('Stats Calculator'!$T$25:$AA$25,Q63)=1),HLOOKUP(Q63,'Stats Calculator'!$T$25:$AA$27,3,FALSE)))))</f>
        <v/>
      </c>
      <c r="AG63" t="str">
        <f>IF(I63="","",COUNTIF(I63,'Stats Calculator'!E$31)+COUNTIF(J63,'Stats Calculator'!E$32)+COUNTIF(K63,'Stats Calculator'!E$33)+COUNTIF(L63,'Stats Calculator'!E$34)+COUNTIF(M63,'Stats Calculator'!E$35)+COUNTIF(N63,'Stats Calculator'!E$36)+COUNTIF(O63,'Stats Calculator'!E$37)+COUNTIF(P63,'Stats Calculator'!E$38)-8+Data!S$3)</f>
        <v/>
      </c>
      <c r="AH63" t="str">
        <f>IF(I63="","",IF(Q63="",0,IF(Q63=0,0,IF(VLOOKUP(Engine!AF63,'Stats Calculator'!B$31:E$38,4,FALSE)="",0,IF(VLOOKUP(Engine!AF63,'Stats Calculator'!B$31:E$38,4,FALSE)=Q63,2,-2)))))</f>
        <v/>
      </c>
      <c r="AI63" t="str">
        <f>IF(I63="","",Data!S$3-COUNTA('Stats Calculator'!E$31:E$38))</f>
        <v/>
      </c>
      <c r="AJ63" t="str">
        <f>IF(I63="","",IF(AF63=0,0,IF(VLOOKUP(AF63,'Stats Calculator'!B$31:E$38,4,FALSE)&gt;0,0,2)))</f>
        <v/>
      </c>
      <c r="AK63" t="str">
        <f>IF(I63="","",IF(Data!S$3-Engine!AI63=AG63,2,0))</f>
        <v/>
      </c>
      <c r="AL63" t="str">
        <f t="shared" si="14"/>
        <v/>
      </c>
    </row>
    <row r="64" spans="1:38" x14ac:dyDescent="0.35">
      <c r="A64">
        <v>63</v>
      </c>
      <c r="B64" t="str">
        <f t="shared" si="18"/>
        <v/>
      </c>
      <c r="C64" s="111" t="str">
        <f t="shared" si="8"/>
        <v/>
      </c>
      <c r="D64" t="str">
        <f t="shared" si="19"/>
        <v/>
      </c>
      <c r="E64" s="3" t="str">
        <f t="shared" si="9"/>
        <v/>
      </c>
      <c r="F64" t="str">
        <f t="shared" si="10"/>
        <v/>
      </c>
      <c r="G64">
        <v>32</v>
      </c>
      <c r="H64" t="str">
        <f>Data!A64</f>
        <v>ZZZZZZ Suspend</v>
      </c>
      <c r="I64" s="2" t="str">
        <f>Data!C64</f>
        <v/>
      </c>
      <c r="J64" s="2" t="str">
        <f>Data!D64</f>
        <v/>
      </c>
      <c r="K64" s="2" t="str">
        <f>Data!E64</f>
        <v/>
      </c>
      <c r="L64" s="2" t="str">
        <f>IF(Data!$S$3&lt;Engine!L$1,0,Data!F64)</f>
        <v/>
      </c>
      <c r="M64" s="2" t="str">
        <f>IF(Data!$S$3&lt;Engine!M$1,0,Data!G64)</f>
        <v/>
      </c>
      <c r="N64" s="2" t="str">
        <f>IF(Data!$S$3&lt;Engine!N$1,0,Data!H64)</f>
        <v/>
      </c>
      <c r="O64" s="2" t="str">
        <f>IF(Data!$S$3&lt;Engine!O$1,0,Data!I64)</f>
        <v/>
      </c>
      <c r="P64" s="2" t="str">
        <f>IF(Data!$S$3&lt;Engine!P$1,0,Data!J64)</f>
        <v/>
      </c>
      <c r="Q64" s="11" t="str">
        <f>IF(Data!B64=1,Data!K64,"No Tips")</f>
        <v>No Tips</v>
      </c>
      <c r="R64" s="2" t="str">
        <f>Data!L64</f>
        <v/>
      </c>
      <c r="S64" s="2" t="str">
        <f>Data!M64</f>
        <v/>
      </c>
      <c r="T64" s="1" t="str">
        <f>IF(I64="","",COUNTIF('Live Ladder'!P:P,I64)+COUNTIF('Live Ladder'!P:P,J64)+COUNTIF('Live Ladder'!P:P,K64)+COUNTIF('Live Ladder'!P:P,L64)+COUNTIF('Live Ladder'!P:P,M64)+COUNTIF('Live Ladder'!P:P,N64)+COUNTIF('Live Ladder'!P:P,O64)+COUNTIF('Live Ladder'!P:P,P64))</f>
        <v/>
      </c>
      <c r="U64" s="1" t="str">
        <f>IF(I64="","",IF(COUNTIF('Live Ladder'!P:P,Engine!Q64)=1,2,IF(COUNTIF('Live Ladder'!Q:Q,Engine!Q64)=1,-2,0)))</f>
        <v/>
      </c>
      <c r="V64" s="1" t="str">
        <f>IF(I64="","",IF(T64=Data!S$3,2,0))</f>
        <v/>
      </c>
      <c r="W64" s="1">
        <f t="shared" si="11"/>
        <v>-2</v>
      </c>
      <c r="X64" s="1">
        <f>IF(I64="",AE$2,IF(I64='Live Ladder'!B$4,'Live Ladder'!C$4,'Live Ladder'!D$4)+IF(J64='Live Ladder'!B$5,'Live Ladder'!C$5,'Live Ladder'!D$5)+IF(K64='Live Ladder'!B$6,'Live Ladder'!C$6,'Live Ladder'!D$6)+IF(L64='Live Ladder'!B$7,'Live Ladder'!C$7,'Live Ladder'!D$7)+IF(M64='Live Ladder'!B$8,'Live Ladder'!C$8,'Live Ladder'!D$8)+IF(N64='Live Ladder'!B$9,'Live Ladder'!C$9,'Live Ladder'!D$9)+IF(O64='Live Ladder'!B$10,'Live Ladder'!C$10,'Live Ladder'!D$10)+IF(P64='Live Ladder'!B$11,'Live Ladder'!C$11,'Live Ladder'!D$11))</f>
        <v>18</v>
      </c>
      <c r="Y64" t="str">
        <f t="shared" si="17"/>
        <v/>
      </c>
      <c r="Z64" t="str">
        <f t="shared" si="12"/>
        <v/>
      </c>
      <c r="AA64" s="111" t="str">
        <f t="shared" si="13"/>
        <v/>
      </c>
      <c r="AB64">
        <f t="shared" si="16"/>
        <v>0</v>
      </c>
      <c r="AC64" t="str">
        <f>IF(I64="","",IF(I64='Live Ladder'!B$4,'Live Ladder'!C$4,'Live Ladder'!D$4)+IF(J64='Live Ladder'!B$5,'Live Ladder'!C$5,'Live Ladder'!D$5)+IF(K64='Live Ladder'!B$6,'Live Ladder'!C$6,'Live Ladder'!D$6)+IF(L64='Live Ladder'!B$7,'Live Ladder'!C$7,'Live Ladder'!D$7)+IF(M64='Live Ladder'!B$8,'Live Ladder'!C$8,'Live Ladder'!D$8)+IF(N64='Live Ladder'!B$9,'Live Ladder'!C$9,'Live Ladder'!D$9)+IF(O64='Live Ladder'!B$10,'Live Ladder'!C$10,'Live Ladder'!D$10)+IF(P64='Live Ladder'!B$11,'Live Ladder'!C$11,'Live Ladder'!D$11))</f>
        <v/>
      </c>
      <c r="AF64" t="str">
        <f>IF(I64="","",IF(Q64="",0,IF(AND(Q64&gt;0,COUNTIF('Stats Calculator'!$T$24:$AA$24,Q64)=1),HLOOKUP(Q64,'Stats Calculator'!$T$24:$AA$27,4,FALSE),IF(AND(Q64&gt;0,COUNTIF('Stats Calculator'!$T$25:$AA$25,Q64)=1),HLOOKUP(Q64,'Stats Calculator'!$T$25:$AA$27,3,FALSE)))))</f>
        <v/>
      </c>
      <c r="AG64" t="str">
        <f>IF(I64="","",COUNTIF(I64,'Stats Calculator'!E$31)+COUNTIF(J64,'Stats Calculator'!E$32)+COUNTIF(K64,'Stats Calculator'!E$33)+COUNTIF(L64,'Stats Calculator'!E$34)+COUNTIF(M64,'Stats Calculator'!E$35)+COUNTIF(N64,'Stats Calculator'!E$36)+COUNTIF(O64,'Stats Calculator'!E$37)+COUNTIF(P64,'Stats Calculator'!E$38)-8+Data!S$3)</f>
        <v/>
      </c>
      <c r="AH64" t="str">
        <f>IF(I64="","",IF(Q64="",0,IF(Q64=0,0,IF(VLOOKUP(Engine!AF64,'Stats Calculator'!B$31:E$38,4,FALSE)="",0,IF(VLOOKUP(Engine!AF64,'Stats Calculator'!B$31:E$38,4,FALSE)=Q64,2,-2)))))</f>
        <v/>
      </c>
      <c r="AI64" t="str">
        <f>IF(I64="","",Data!S$3-COUNTA('Stats Calculator'!E$31:E$38))</f>
        <v/>
      </c>
      <c r="AJ64" t="str">
        <f>IF(I64="","",IF(AF64=0,0,IF(VLOOKUP(AF64,'Stats Calculator'!B$31:E$38,4,FALSE)&gt;0,0,2)))</f>
        <v/>
      </c>
      <c r="AK64" t="str">
        <f>IF(I64="","",IF(Data!S$3-Engine!AI64=AG64,2,0))</f>
        <v/>
      </c>
      <c r="AL64" t="str">
        <f t="shared" si="14"/>
        <v/>
      </c>
    </row>
    <row r="65" spans="1:38" s="10" customFormat="1" x14ac:dyDescent="0.35">
      <c r="A65">
        <v>64</v>
      </c>
      <c r="B65" t="str">
        <f t="shared" si="18"/>
        <v/>
      </c>
      <c r="C65" s="111" t="str">
        <f t="shared" si="8"/>
        <v/>
      </c>
      <c r="D65" t="str">
        <f t="shared" si="19"/>
        <v/>
      </c>
      <c r="E65" s="3" t="str">
        <f t="shared" si="9"/>
        <v/>
      </c>
      <c r="F65" t="str">
        <f t="shared" si="10"/>
        <v/>
      </c>
      <c r="G65">
        <v>31</v>
      </c>
      <c r="H65" t="str">
        <f>Data!A65</f>
        <v>ZZZZZZ Suspend</v>
      </c>
      <c r="I65" s="2" t="str">
        <f>Data!C65</f>
        <v/>
      </c>
      <c r="J65" s="2" t="str">
        <f>Data!D65</f>
        <v/>
      </c>
      <c r="K65" s="2" t="str">
        <f>Data!E65</f>
        <v/>
      </c>
      <c r="L65" s="2" t="str">
        <f>IF(Data!$S$3&lt;Engine!L$1,0,Data!F65)</f>
        <v/>
      </c>
      <c r="M65" s="2" t="str">
        <f>IF(Data!$S$3&lt;Engine!M$1,0,Data!G65)</f>
        <v/>
      </c>
      <c r="N65" s="2" t="str">
        <f>IF(Data!$S$3&lt;Engine!N$1,0,Data!H65)</f>
        <v/>
      </c>
      <c r="O65" s="2" t="str">
        <f>IF(Data!$S$3&lt;Engine!O$1,0,Data!I65)</f>
        <v/>
      </c>
      <c r="P65" s="2" t="str">
        <f>IF(Data!$S$3&lt;Engine!P$1,0,Data!J65)</f>
        <v/>
      </c>
      <c r="Q65" s="11" t="str">
        <f>IF(Data!B65=1,Data!K65,"No Tips")</f>
        <v>No Tips</v>
      </c>
      <c r="R65" s="2" t="str">
        <f>Data!L65</f>
        <v/>
      </c>
      <c r="S65" s="2" t="str">
        <f>Data!M65</f>
        <v/>
      </c>
      <c r="T65" s="1" t="str">
        <f>IF(I65="","",COUNTIF('Live Ladder'!P:P,I65)+COUNTIF('Live Ladder'!P:P,J65)+COUNTIF('Live Ladder'!P:P,K65)+COUNTIF('Live Ladder'!P:P,L65)+COUNTIF('Live Ladder'!P:P,M65)+COUNTIF('Live Ladder'!P:P,N65)+COUNTIF('Live Ladder'!P:P,O65)+COUNTIF('Live Ladder'!P:P,P65))</f>
        <v/>
      </c>
      <c r="U65" s="1" t="str">
        <f>IF(I65="","",IF(COUNTIF('Live Ladder'!P:P,Engine!Q65)=1,2,IF(COUNTIF('Live Ladder'!Q:Q,Engine!Q65)=1,-2,0)))</f>
        <v/>
      </c>
      <c r="V65" s="1" t="str">
        <f>IF(I65="","",IF(T65=Data!S$3,2,0))</f>
        <v/>
      </c>
      <c r="W65" s="1">
        <f t="shared" si="11"/>
        <v>-2</v>
      </c>
      <c r="X65" s="1">
        <f>IF(I65="",AE$2,IF(I65='Live Ladder'!B$4,'Live Ladder'!C$4,'Live Ladder'!D$4)+IF(J65='Live Ladder'!B$5,'Live Ladder'!C$5,'Live Ladder'!D$5)+IF(K65='Live Ladder'!B$6,'Live Ladder'!C$6,'Live Ladder'!D$6)+IF(L65='Live Ladder'!B$7,'Live Ladder'!C$7,'Live Ladder'!D$7)+IF(M65='Live Ladder'!B$8,'Live Ladder'!C$8,'Live Ladder'!D$8)+IF(N65='Live Ladder'!B$9,'Live Ladder'!C$9,'Live Ladder'!D$9)+IF(O65='Live Ladder'!B$10,'Live Ladder'!C$10,'Live Ladder'!D$10)+IF(P65='Live Ladder'!B$11,'Live Ladder'!C$11,'Live Ladder'!D$11))</f>
        <v>18</v>
      </c>
      <c r="Y65" t="str">
        <f t="shared" si="17"/>
        <v/>
      </c>
      <c r="Z65" t="str">
        <f t="shared" si="12"/>
        <v/>
      </c>
      <c r="AA65" s="111" t="str">
        <f t="shared" si="13"/>
        <v/>
      </c>
      <c r="AB65">
        <f t="shared" si="16"/>
        <v>0</v>
      </c>
      <c r="AC65" t="str">
        <f>IF(I65="","",IF(I65='Live Ladder'!B$4,'Live Ladder'!C$4,'Live Ladder'!D$4)+IF(J65='Live Ladder'!B$5,'Live Ladder'!C$5,'Live Ladder'!D$5)+IF(K65='Live Ladder'!B$6,'Live Ladder'!C$6,'Live Ladder'!D$6)+IF(L65='Live Ladder'!B$7,'Live Ladder'!C$7,'Live Ladder'!D$7)+IF(M65='Live Ladder'!B$8,'Live Ladder'!C$8,'Live Ladder'!D$8)+IF(N65='Live Ladder'!B$9,'Live Ladder'!C$9,'Live Ladder'!D$9)+IF(O65='Live Ladder'!B$10,'Live Ladder'!C$10,'Live Ladder'!D$10)+IF(P65='Live Ladder'!B$11,'Live Ladder'!C$11,'Live Ladder'!D$11))</f>
        <v/>
      </c>
      <c r="AD65"/>
      <c r="AE65"/>
      <c r="AF65" t="str">
        <f>IF(I65="","",IF(Q65="",0,IF(AND(Q65&gt;0,COUNTIF('Stats Calculator'!$T$24:$AA$24,Q65)=1),HLOOKUP(Q65,'Stats Calculator'!$T$24:$AA$27,4,FALSE),IF(AND(Q65&gt;0,COUNTIF('Stats Calculator'!$T$25:$AA$25,Q65)=1),HLOOKUP(Q65,'Stats Calculator'!$T$25:$AA$27,3,FALSE)))))</f>
        <v/>
      </c>
      <c r="AG65" t="str">
        <f>IF(I65="","",COUNTIF(I65,'Stats Calculator'!E$31)+COUNTIF(J65,'Stats Calculator'!E$32)+COUNTIF(K65,'Stats Calculator'!E$33)+COUNTIF(L65,'Stats Calculator'!E$34)+COUNTIF(M65,'Stats Calculator'!E$35)+COUNTIF(N65,'Stats Calculator'!E$36)+COUNTIF(O65,'Stats Calculator'!E$37)+COUNTIF(P65,'Stats Calculator'!E$38)-8+Data!S$3)</f>
        <v/>
      </c>
      <c r="AH65" t="str">
        <f>IF(I65="","",IF(Q65="",0,IF(Q65=0,0,IF(VLOOKUP(Engine!AF65,'Stats Calculator'!B$31:E$38,4,FALSE)="",0,IF(VLOOKUP(Engine!AF65,'Stats Calculator'!B$31:E$38,4,FALSE)=Q65,2,-2)))))</f>
        <v/>
      </c>
      <c r="AI65" t="str">
        <f>IF(I65="","",Data!S$3-COUNTA('Stats Calculator'!E$31:E$38))</f>
        <v/>
      </c>
      <c r="AJ65" t="str">
        <f>IF(I65="","",IF(AF65=0,0,IF(VLOOKUP(AF65,'Stats Calculator'!B$31:E$38,4,FALSE)&gt;0,0,2)))</f>
        <v/>
      </c>
      <c r="AK65" t="str">
        <f>IF(I65="","",IF(Data!S$3-Engine!AI65=AG65,2,0))</f>
        <v/>
      </c>
      <c r="AL65" t="str">
        <f t="shared" si="14"/>
        <v/>
      </c>
    </row>
    <row r="66" spans="1:38" x14ac:dyDescent="0.35">
      <c r="A66">
        <v>65</v>
      </c>
      <c r="B66" t="str">
        <f t="shared" ref="B66:B94" si="20">IF(H66="ZZZZZZ Suspend","",RANK(C66,C:C))</f>
        <v/>
      </c>
      <c r="C66" s="111" t="str">
        <f t="shared" si="8"/>
        <v/>
      </c>
      <c r="D66" t="str">
        <f t="shared" ref="D66:D94" si="21">IF(H66="ZZZZZZ Suspend","",RANK(AA66,AA:AA))</f>
        <v/>
      </c>
      <c r="E66" s="3" t="str">
        <f t="shared" si="9"/>
        <v/>
      </c>
      <c r="F66" t="str">
        <f t="shared" si="10"/>
        <v/>
      </c>
      <c r="G66">
        <v>30</v>
      </c>
      <c r="H66" t="str">
        <f>Data!A66</f>
        <v>ZZZZZZ Suspend</v>
      </c>
      <c r="I66" s="2" t="str">
        <f>Data!C66</f>
        <v/>
      </c>
      <c r="J66" s="2" t="str">
        <f>Data!D66</f>
        <v/>
      </c>
      <c r="K66" s="2" t="str">
        <f>Data!E66</f>
        <v/>
      </c>
      <c r="L66" s="2" t="str">
        <f>IF(Data!$S$3&lt;Engine!L$1,0,Data!F66)</f>
        <v/>
      </c>
      <c r="M66" s="2" t="str">
        <f>IF(Data!$S$3&lt;Engine!M$1,0,Data!G66)</f>
        <v/>
      </c>
      <c r="N66" s="2" t="str">
        <f>IF(Data!$S$3&lt;Engine!N$1,0,Data!H66)</f>
        <v/>
      </c>
      <c r="O66" s="2" t="str">
        <f>IF(Data!$S$3&lt;Engine!O$1,0,Data!I66)</f>
        <v/>
      </c>
      <c r="P66" s="2" t="str">
        <f>IF(Data!$S$3&lt;Engine!P$1,0,Data!J66)</f>
        <v/>
      </c>
      <c r="Q66" s="11" t="str">
        <f>IF(Data!B66=1,Data!K66,"No Tips")</f>
        <v>No Tips</v>
      </c>
      <c r="R66" s="2" t="str">
        <f>Data!L66</f>
        <v/>
      </c>
      <c r="S66" s="2" t="str">
        <f>Data!M66</f>
        <v/>
      </c>
      <c r="T66" s="1" t="str">
        <f>IF(I66="","",COUNTIF('Live Ladder'!P:P,I66)+COUNTIF('Live Ladder'!P:P,J66)+COUNTIF('Live Ladder'!P:P,K66)+COUNTIF('Live Ladder'!P:P,L66)+COUNTIF('Live Ladder'!P:P,M66)+COUNTIF('Live Ladder'!P:P,N66)+COUNTIF('Live Ladder'!P:P,O66)+COUNTIF('Live Ladder'!P:P,P66))</f>
        <v/>
      </c>
      <c r="U66" s="1" t="str">
        <f>IF(I66="","",IF(COUNTIF('Live Ladder'!P:P,Engine!Q66)=1,2,IF(COUNTIF('Live Ladder'!Q:Q,Engine!Q66)=1,-2,0)))</f>
        <v/>
      </c>
      <c r="V66" s="1" t="str">
        <f>IF(I66="","",IF(T66=Data!S$3,2,0))</f>
        <v/>
      </c>
      <c r="W66" s="1">
        <f t="shared" si="11"/>
        <v>-2</v>
      </c>
      <c r="X66" s="1">
        <f>IF(I66="",AE$2,IF(I66='Live Ladder'!B$4,'Live Ladder'!C$4,'Live Ladder'!D$4)+IF(J66='Live Ladder'!B$5,'Live Ladder'!C$5,'Live Ladder'!D$5)+IF(K66='Live Ladder'!B$6,'Live Ladder'!C$6,'Live Ladder'!D$6)+IF(L66='Live Ladder'!B$7,'Live Ladder'!C$7,'Live Ladder'!D$7)+IF(M66='Live Ladder'!B$8,'Live Ladder'!C$8,'Live Ladder'!D$8)+IF(N66='Live Ladder'!B$9,'Live Ladder'!C$9,'Live Ladder'!D$9)+IF(O66='Live Ladder'!B$10,'Live Ladder'!C$10,'Live Ladder'!D$10)+IF(P66='Live Ladder'!B$11,'Live Ladder'!C$11,'Live Ladder'!D$11))</f>
        <v>18</v>
      </c>
      <c r="Y66" t="str">
        <f t="shared" si="17"/>
        <v/>
      </c>
      <c r="Z66" t="str">
        <f t="shared" si="12"/>
        <v/>
      </c>
      <c r="AA66" s="111" t="str">
        <f t="shared" si="13"/>
        <v/>
      </c>
      <c r="AB66">
        <f t="shared" si="16"/>
        <v>0</v>
      </c>
      <c r="AC66" t="str">
        <f>IF(I66="","",IF(I66='Live Ladder'!B$4,'Live Ladder'!C$4,'Live Ladder'!D$4)+IF(J66='Live Ladder'!B$5,'Live Ladder'!C$5,'Live Ladder'!D$5)+IF(K66='Live Ladder'!B$6,'Live Ladder'!C$6,'Live Ladder'!D$6)+IF(L66='Live Ladder'!B$7,'Live Ladder'!C$7,'Live Ladder'!D$7)+IF(M66='Live Ladder'!B$8,'Live Ladder'!C$8,'Live Ladder'!D$8)+IF(N66='Live Ladder'!B$9,'Live Ladder'!C$9,'Live Ladder'!D$9)+IF(O66='Live Ladder'!B$10,'Live Ladder'!C$10,'Live Ladder'!D$10)+IF(P66='Live Ladder'!B$11,'Live Ladder'!C$11,'Live Ladder'!D$11))</f>
        <v/>
      </c>
      <c r="AF66" t="str">
        <f>IF(I66="","",IF(Q66="",0,IF(AND(Q66&gt;0,COUNTIF('Stats Calculator'!$T$24:$AA$24,Q66)=1),HLOOKUP(Q66,'Stats Calculator'!$T$24:$AA$27,4,FALSE),IF(AND(Q66&gt;0,COUNTIF('Stats Calculator'!$T$25:$AA$25,Q66)=1),HLOOKUP(Q66,'Stats Calculator'!$T$25:$AA$27,3,FALSE)))))</f>
        <v/>
      </c>
      <c r="AG66" t="str">
        <f>IF(I66="","",COUNTIF(I66,'Stats Calculator'!E$31)+COUNTIF(J66,'Stats Calculator'!E$32)+COUNTIF(K66,'Stats Calculator'!E$33)+COUNTIF(L66,'Stats Calculator'!E$34)+COUNTIF(M66,'Stats Calculator'!E$35)+COUNTIF(N66,'Stats Calculator'!E$36)+COUNTIF(O66,'Stats Calculator'!E$37)+COUNTIF(P66,'Stats Calculator'!E$38)-8+Data!S$3)</f>
        <v/>
      </c>
      <c r="AH66" t="str">
        <f>IF(I66="","",IF(Q66="",0,IF(Q66=0,0,IF(VLOOKUP(Engine!AF66,'Stats Calculator'!B$31:E$38,4,FALSE)="",0,IF(VLOOKUP(Engine!AF66,'Stats Calculator'!B$31:E$38,4,FALSE)=Q66,2,-2)))))</f>
        <v/>
      </c>
      <c r="AI66" t="str">
        <f>IF(I66="","",Data!S$3-COUNTA('Stats Calculator'!E$31:E$38))</f>
        <v/>
      </c>
      <c r="AJ66" t="str">
        <f>IF(I66="","",IF(AF66=0,0,IF(VLOOKUP(AF66,'Stats Calculator'!B$31:E$38,4,FALSE)&gt;0,0,2)))</f>
        <v/>
      </c>
      <c r="AK66" t="str">
        <f>IF(I66="","",IF(Data!S$3-Engine!AI66=AG66,2,0))</f>
        <v/>
      </c>
      <c r="AL66" t="str">
        <f t="shared" si="14"/>
        <v/>
      </c>
    </row>
    <row r="67" spans="1:38" x14ac:dyDescent="0.35">
      <c r="A67">
        <v>66</v>
      </c>
      <c r="B67" t="str">
        <f t="shared" si="20"/>
        <v/>
      </c>
      <c r="C67" s="111" t="str">
        <f t="shared" ref="C67:C95" si="22">IF(H67="ZZZZZZ Suspend","",R67+(S67/100000)+(G67/1000000000))</f>
        <v/>
      </c>
      <c r="D67" t="str">
        <f t="shared" si="21"/>
        <v/>
      </c>
      <c r="E67" s="3" t="str">
        <f t="shared" ref="E67:E85" si="23">IF(H67="ZZZZZZ Suspend","",IF(D67&lt;B67,AD$3,IF(D67&gt;B67,AD$4,AD$5)))</f>
        <v/>
      </c>
      <c r="F67" t="str">
        <f t="shared" ref="F67:F85" si="24">IF(H67="ZZZZZZ Suspend","",IF(D67&gt;B67,D67-B67,IF(D67&lt;B67,B67-D67,"")))</f>
        <v/>
      </c>
      <c r="G67">
        <v>29</v>
      </c>
      <c r="H67" t="str">
        <f>Data!A67</f>
        <v>ZZZZZZ Suspend</v>
      </c>
      <c r="I67" s="2" t="str">
        <f>Data!C67</f>
        <v/>
      </c>
      <c r="J67" s="2" t="str">
        <f>Data!D67</f>
        <v/>
      </c>
      <c r="K67" s="2" t="str">
        <f>Data!E67</f>
        <v/>
      </c>
      <c r="L67" s="2" t="str">
        <f>IF(Data!$S$3&lt;Engine!L$1,0,Data!F67)</f>
        <v/>
      </c>
      <c r="M67" s="2" t="str">
        <f>IF(Data!$S$3&lt;Engine!M$1,0,Data!G67)</f>
        <v/>
      </c>
      <c r="N67" s="2" t="str">
        <f>IF(Data!$S$3&lt;Engine!N$1,0,Data!H67)</f>
        <v/>
      </c>
      <c r="O67" s="2" t="str">
        <f>IF(Data!$S$3&lt;Engine!O$1,0,Data!I67)</f>
        <v/>
      </c>
      <c r="P67" s="2" t="str">
        <f>IF(Data!$S$3&lt;Engine!P$1,0,Data!J67)</f>
        <v/>
      </c>
      <c r="Q67" s="11" t="str">
        <f>IF(Data!B67=1,Data!K67,"No Tips")</f>
        <v>No Tips</v>
      </c>
      <c r="R67" s="2" t="str">
        <f>Data!L67</f>
        <v/>
      </c>
      <c r="S67" s="2" t="str">
        <f>Data!M67</f>
        <v/>
      </c>
      <c r="T67" s="1" t="str">
        <f>IF(I67="","",COUNTIF('Live Ladder'!P:P,I67)+COUNTIF('Live Ladder'!P:P,J67)+COUNTIF('Live Ladder'!P:P,K67)+COUNTIF('Live Ladder'!P:P,L67)+COUNTIF('Live Ladder'!P:P,M67)+COUNTIF('Live Ladder'!P:P,N67)+COUNTIF('Live Ladder'!P:P,O67)+COUNTIF('Live Ladder'!P:P,P67))</f>
        <v/>
      </c>
      <c r="U67" s="1" t="str">
        <f>IF(I67="","",IF(COUNTIF('Live Ladder'!P:P,Engine!Q67)=1,2,IF(COUNTIF('Live Ladder'!Q:Q,Engine!Q67)=1,-2,0)))</f>
        <v/>
      </c>
      <c r="V67" s="1" t="str">
        <f>IF(I67="","",IF(T67=Data!S$3,2,0))</f>
        <v/>
      </c>
      <c r="W67" s="1">
        <f t="shared" ref="W67:W85" si="25">IF(I67="",AD$2,SUM(T67:V67))</f>
        <v>-2</v>
      </c>
      <c r="X67" s="1">
        <f>IF(I67="",AE$2,IF(I67='Live Ladder'!B$4,'Live Ladder'!C$4,'Live Ladder'!D$4)+IF(J67='Live Ladder'!B$5,'Live Ladder'!C$5,'Live Ladder'!D$5)+IF(K67='Live Ladder'!B$6,'Live Ladder'!C$6,'Live Ladder'!D$6)+IF(L67='Live Ladder'!B$7,'Live Ladder'!C$7,'Live Ladder'!D$7)+IF(M67='Live Ladder'!B$8,'Live Ladder'!C$8,'Live Ladder'!D$8)+IF(N67='Live Ladder'!B$9,'Live Ladder'!C$9,'Live Ladder'!D$9)+IF(O67='Live Ladder'!B$10,'Live Ladder'!C$10,'Live Ladder'!D$10)+IF(P67='Live Ladder'!B$11,'Live Ladder'!C$11,'Live Ladder'!D$11))</f>
        <v>18</v>
      </c>
      <c r="Y67" t="str">
        <f t="shared" si="17"/>
        <v/>
      </c>
      <c r="Z67" t="str">
        <f t="shared" ref="Z67:Z85" si="26">IF(H67="ZZZZZZ Suspend","",S67+X67)</f>
        <v/>
      </c>
      <c r="AA67" s="111" t="str">
        <f t="shared" ref="AA67:AA95" si="27">IF(H67="ZZZZZZ Suspend","",Y67+(Z67/100000)+(G67/1000000000))</f>
        <v/>
      </c>
      <c r="AB67">
        <f t="shared" ref="AB67:AB85" si="28">SUM(T67:V67)</f>
        <v>0</v>
      </c>
      <c r="AC67" t="str">
        <f>IF(I67="","",IF(I67='Live Ladder'!B$4,'Live Ladder'!C$4,'Live Ladder'!D$4)+IF(J67='Live Ladder'!B$5,'Live Ladder'!C$5,'Live Ladder'!D$5)+IF(K67='Live Ladder'!B$6,'Live Ladder'!C$6,'Live Ladder'!D$6)+IF(L67='Live Ladder'!B$7,'Live Ladder'!C$7,'Live Ladder'!D$7)+IF(M67='Live Ladder'!B$8,'Live Ladder'!C$8,'Live Ladder'!D$8)+IF(N67='Live Ladder'!B$9,'Live Ladder'!C$9,'Live Ladder'!D$9)+IF(O67='Live Ladder'!B$10,'Live Ladder'!C$10,'Live Ladder'!D$10)+IF(P67='Live Ladder'!B$11,'Live Ladder'!C$11,'Live Ladder'!D$11))</f>
        <v/>
      </c>
      <c r="AF67" t="str">
        <f>IF(I67="","",IF(Q67="",0,IF(AND(Q67&gt;0,COUNTIF('Stats Calculator'!$T$24:$AA$24,Q67)=1),HLOOKUP(Q67,'Stats Calculator'!$T$24:$AA$27,4,FALSE),IF(AND(Q67&gt;0,COUNTIF('Stats Calculator'!$T$25:$AA$25,Q67)=1),HLOOKUP(Q67,'Stats Calculator'!$T$25:$AA$27,3,FALSE)))))</f>
        <v/>
      </c>
      <c r="AG67" t="str">
        <f>IF(I67="","",COUNTIF(I67,'Stats Calculator'!E$31)+COUNTIF(J67,'Stats Calculator'!E$32)+COUNTIF(K67,'Stats Calculator'!E$33)+COUNTIF(L67,'Stats Calculator'!E$34)+COUNTIF(M67,'Stats Calculator'!E$35)+COUNTIF(N67,'Stats Calculator'!E$36)+COUNTIF(O67,'Stats Calculator'!E$37)+COUNTIF(P67,'Stats Calculator'!E$38)-8+Data!S$3)</f>
        <v/>
      </c>
      <c r="AH67" t="str">
        <f>IF(I67="","",IF(Q67="",0,IF(Q67=0,0,IF(VLOOKUP(Engine!AF67,'Stats Calculator'!B$31:E$38,4,FALSE)="",0,IF(VLOOKUP(Engine!AF67,'Stats Calculator'!B$31:E$38,4,FALSE)=Q67,2,-2)))))</f>
        <v/>
      </c>
      <c r="AI67" t="str">
        <f>IF(I67="","",Data!S$3-COUNTA('Stats Calculator'!E$31:E$38))</f>
        <v/>
      </c>
      <c r="AJ67" t="str">
        <f>IF(I67="","",IF(AF67=0,0,IF(VLOOKUP(AF67,'Stats Calculator'!B$31:E$38,4,FALSE)&gt;0,0,2)))</f>
        <v/>
      </c>
      <c r="AK67" t="str">
        <f>IF(I67="","",IF(Data!S$3-Engine!AI67=AG67,2,0))</f>
        <v/>
      </c>
      <c r="AL67" t="str">
        <f t="shared" ref="AL67:AL85" si="29">IF(I67="","",SUM(AG67:AK67))</f>
        <v/>
      </c>
    </row>
    <row r="68" spans="1:38" x14ac:dyDescent="0.35">
      <c r="A68">
        <v>67</v>
      </c>
      <c r="B68" t="str">
        <f t="shared" si="20"/>
        <v/>
      </c>
      <c r="C68" s="111" t="str">
        <f t="shared" si="22"/>
        <v/>
      </c>
      <c r="D68" t="str">
        <f t="shared" si="21"/>
        <v/>
      </c>
      <c r="E68" s="3" t="str">
        <f t="shared" si="23"/>
        <v/>
      </c>
      <c r="F68" t="str">
        <f t="shared" si="24"/>
        <v/>
      </c>
      <c r="G68">
        <v>28</v>
      </c>
      <c r="H68" t="str">
        <f>Data!A68</f>
        <v>ZZZZZZ Suspend</v>
      </c>
      <c r="I68" s="2" t="str">
        <f>Data!C68</f>
        <v/>
      </c>
      <c r="J68" s="2" t="str">
        <f>Data!D68</f>
        <v/>
      </c>
      <c r="K68" s="2" t="str">
        <f>Data!E68</f>
        <v/>
      </c>
      <c r="L68" s="2" t="str">
        <f>IF(Data!$S$3&lt;Engine!L$1,0,Data!F68)</f>
        <v/>
      </c>
      <c r="M68" s="2" t="str">
        <f>IF(Data!$S$3&lt;Engine!M$1,0,Data!G68)</f>
        <v/>
      </c>
      <c r="N68" s="2" t="str">
        <f>IF(Data!$S$3&lt;Engine!N$1,0,Data!H68)</f>
        <v/>
      </c>
      <c r="O68" s="2" t="str">
        <f>IF(Data!$S$3&lt;Engine!O$1,0,Data!I68)</f>
        <v/>
      </c>
      <c r="P68" s="2" t="str">
        <f>IF(Data!$S$3&lt;Engine!P$1,0,Data!J68)</f>
        <v/>
      </c>
      <c r="Q68" s="11" t="str">
        <f>IF(Data!B68=1,Data!K68,"No Tips")</f>
        <v>No Tips</v>
      </c>
      <c r="R68" s="2" t="str">
        <f>Data!L68</f>
        <v/>
      </c>
      <c r="S68" s="2" t="str">
        <f>Data!M68</f>
        <v/>
      </c>
      <c r="T68" s="1" t="str">
        <f>IF(I68="","",COUNTIF('Live Ladder'!P:P,I68)+COUNTIF('Live Ladder'!P:P,J68)+COUNTIF('Live Ladder'!P:P,K68)+COUNTIF('Live Ladder'!P:P,L68)+COUNTIF('Live Ladder'!P:P,M68)+COUNTIF('Live Ladder'!P:P,N68)+COUNTIF('Live Ladder'!P:P,O68)+COUNTIF('Live Ladder'!P:P,P68))</f>
        <v/>
      </c>
      <c r="U68" s="1" t="str">
        <f>IF(I68="","",IF(COUNTIF('Live Ladder'!P:P,Engine!Q68)=1,2,IF(COUNTIF('Live Ladder'!Q:Q,Engine!Q68)=1,-2,0)))</f>
        <v/>
      </c>
      <c r="V68" s="1" t="str">
        <f>IF(I68="","",IF(T68=Data!S$3,2,0))</f>
        <v/>
      </c>
      <c r="W68" s="1">
        <f t="shared" si="25"/>
        <v>-2</v>
      </c>
      <c r="X68" s="1">
        <f>IF(I68="",AE$2,IF(I68='Live Ladder'!B$4,'Live Ladder'!C$4,'Live Ladder'!D$4)+IF(J68='Live Ladder'!B$5,'Live Ladder'!C$5,'Live Ladder'!D$5)+IF(K68='Live Ladder'!B$6,'Live Ladder'!C$6,'Live Ladder'!D$6)+IF(L68='Live Ladder'!B$7,'Live Ladder'!C$7,'Live Ladder'!D$7)+IF(M68='Live Ladder'!B$8,'Live Ladder'!C$8,'Live Ladder'!D$8)+IF(N68='Live Ladder'!B$9,'Live Ladder'!C$9,'Live Ladder'!D$9)+IF(O68='Live Ladder'!B$10,'Live Ladder'!C$10,'Live Ladder'!D$10)+IF(P68='Live Ladder'!B$11,'Live Ladder'!C$11,'Live Ladder'!D$11))</f>
        <v>18</v>
      </c>
      <c r="Y68" t="str">
        <f t="shared" si="17"/>
        <v/>
      </c>
      <c r="Z68" t="str">
        <f t="shared" si="26"/>
        <v/>
      </c>
      <c r="AA68" s="111" t="str">
        <f t="shared" si="27"/>
        <v/>
      </c>
      <c r="AB68">
        <f t="shared" si="28"/>
        <v>0</v>
      </c>
      <c r="AC68" t="str">
        <f>IF(I68="","",IF(I68='Live Ladder'!B$4,'Live Ladder'!C$4,'Live Ladder'!D$4)+IF(J68='Live Ladder'!B$5,'Live Ladder'!C$5,'Live Ladder'!D$5)+IF(K68='Live Ladder'!B$6,'Live Ladder'!C$6,'Live Ladder'!D$6)+IF(L68='Live Ladder'!B$7,'Live Ladder'!C$7,'Live Ladder'!D$7)+IF(M68='Live Ladder'!B$8,'Live Ladder'!C$8,'Live Ladder'!D$8)+IF(N68='Live Ladder'!B$9,'Live Ladder'!C$9,'Live Ladder'!D$9)+IF(O68='Live Ladder'!B$10,'Live Ladder'!C$10,'Live Ladder'!D$10)+IF(P68='Live Ladder'!B$11,'Live Ladder'!C$11,'Live Ladder'!D$11))</f>
        <v/>
      </c>
      <c r="AF68" t="str">
        <f>IF(I68="","",IF(Q68="",0,IF(AND(Q68&gt;0,COUNTIF('Stats Calculator'!$T$24:$AA$24,Q68)=1),HLOOKUP(Q68,'Stats Calculator'!$T$24:$AA$27,4,FALSE),IF(AND(Q68&gt;0,COUNTIF('Stats Calculator'!$T$25:$AA$25,Q68)=1),HLOOKUP(Q68,'Stats Calculator'!$T$25:$AA$27,3,FALSE)))))</f>
        <v/>
      </c>
      <c r="AG68" t="str">
        <f>IF(I68="","",COUNTIF(I68,'Stats Calculator'!E$31)+COUNTIF(J68,'Stats Calculator'!E$32)+COUNTIF(K68,'Stats Calculator'!E$33)+COUNTIF(L68,'Stats Calculator'!E$34)+COUNTIF(M68,'Stats Calculator'!E$35)+COUNTIF(N68,'Stats Calculator'!E$36)+COUNTIF(O68,'Stats Calculator'!E$37)+COUNTIF(P68,'Stats Calculator'!E$38)-8+Data!S$3)</f>
        <v/>
      </c>
      <c r="AH68" t="str">
        <f>IF(I68="","",IF(Q68="",0,IF(Q68=0,0,IF(VLOOKUP(Engine!AF68,'Stats Calculator'!B$31:E$38,4,FALSE)="",0,IF(VLOOKUP(Engine!AF68,'Stats Calculator'!B$31:E$38,4,FALSE)=Q68,2,-2)))))</f>
        <v/>
      </c>
      <c r="AI68" t="str">
        <f>IF(I68="","",Data!S$3-COUNTA('Stats Calculator'!E$31:E$38))</f>
        <v/>
      </c>
      <c r="AJ68" t="str">
        <f>IF(I68="","",IF(AF68=0,0,IF(VLOOKUP(AF68,'Stats Calculator'!B$31:E$38,4,FALSE)&gt;0,0,2)))</f>
        <v/>
      </c>
      <c r="AK68" t="str">
        <f>IF(I68="","",IF(Data!S$3-Engine!AI68=AG68,2,0))</f>
        <v/>
      </c>
      <c r="AL68" t="str">
        <f t="shared" si="29"/>
        <v/>
      </c>
    </row>
    <row r="69" spans="1:38" x14ac:dyDescent="0.35">
      <c r="A69">
        <v>68</v>
      </c>
      <c r="B69" t="str">
        <f t="shared" si="20"/>
        <v/>
      </c>
      <c r="C69" s="111" t="str">
        <f t="shared" si="22"/>
        <v/>
      </c>
      <c r="D69" t="str">
        <f t="shared" si="21"/>
        <v/>
      </c>
      <c r="E69" s="3" t="str">
        <f t="shared" si="23"/>
        <v/>
      </c>
      <c r="F69" t="str">
        <f t="shared" si="24"/>
        <v/>
      </c>
      <c r="G69">
        <v>27</v>
      </c>
      <c r="H69" t="str">
        <f>Data!A69</f>
        <v>ZZZZZZ Suspend</v>
      </c>
      <c r="I69" s="2" t="str">
        <f>Data!C69</f>
        <v/>
      </c>
      <c r="J69" s="2" t="str">
        <f>Data!D69</f>
        <v/>
      </c>
      <c r="K69" s="2" t="str">
        <f>Data!E69</f>
        <v/>
      </c>
      <c r="L69" s="2" t="str">
        <f>IF(Data!$S$3&lt;Engine!L$1,0,Data!F69)</f>
        <v/>
      </c>
      <c r="M69" s="2" t="str">
        <f>IF(Data!$S$3&lt;Engine!M$1,0,Data!G69)</f>
        <v/>
      </c>
      <c r="N69" s="2" t="str">
        <f>IF(Data!$S$3&lt;Engine!N$1,0,Data!H69)</f>
        <v/>
      </c>
      <c r="O69" s="2" t="str">
        <f>IF(Data!$S$3&lt;Engine!O$1,0,Data!I69)</f>
        <v/>
      </c>
      <c r="P69" s="2" t="str">
        <f>IF(Data!$S$3&lt;Engine!P$1,0,Data!J69)</f>
        <v/>
      </c>
      <c r="Q69" s="11" t="str">
        <f>IF(Data!B69=1,Data!K69,"No Tips")</f>
        <v>No Tips</v>
      </c>
      <c r="R69" s="2" t="str">
        <f>Data!L69</f>
        <v/>
      </c>
      <c r="S69" s="2" t="str">
        <f>Data!M69</f>
        <v/>
      </c>
      <c r="T69" s="1" t="str">
        <f>IF(I69="","",COUNTIF('Live Ladder'!P:P,I69)+COUNTIF('Live Ladder'!P:P,J69)+COUNTIF('Live Ladder'!P:P,K69)+COUNTIF('Live Ladder'!P:P,L69)+COUNTIF('Live Ladder'!P:P,M69)+COUNTIF('Live Ladder'!P:P,N69)+COUNTIF('Live Ladder'!P:P,O69)+COUNTIF('Live Ladder'!P:P,P69))</f>
        <v/>
      </c>
      <c r="U69" s="1" t="str">
        <f>IF(I69="","",IF(COUNTIF('Live Ladder'!P:P,Engine!Q69)=1,2,IF(COUNTIF('Live Ladder'!Q:Q,Engine!Q69)=1,-2,0)))</f>
        <v/>
      </c>
      <c r="V69" s="1" t="str">
        <f>IF(I69="","",IF(T69=Data!S$3,2,0))</f>
        <v/>
      </c>
      <c r="W69" s="1">
        <f t="shared" si="25"/>
        <v>-2</v>
      </c>
      <c r="X69" s="1">
        <f>IF(I69="",AE$2,IF(I69='Live Ladder'!B$4,'Live Ladder'!C$4,'Live Ladder'!D$4)+IF(J69='Live Ladder'!B$5,'Live Ladder'!C$5,'Live Ladder'!D$5)+IF(K69='Live Ladder'!B$6,'Live Ladder'!C$6,'Live Ladder'!D$6)+IF(L69='Live Ladder'!B$7,'Live Ladder'!C$7,'Live Ladder'!D$7)+IF(M69='Live Ladder'!B$8,'Live Ladder'!C$8,'Live Ladder'!D$8)+IF(N69='Live Ladder'!B$9,'Live Ladder'!C$9,'Live Ladder'!D$9)+IF(O69='Live Ladder'!B$10,'Live Ladder'!C$10,'Live Ladder'!D$10)+IF(P69='Live Ladder'!B$11,'Live Ladder'!C$11,'Live Ladder'!D$11))</f>
        <v>18</v>
      </c>
      <c r="Y69" t="str">
        <f t="shared" si="17"/>
        <v/>
      </c>
      <c r="Z69" t="str">
        <f t="shared" si="26"/>
        <v/>
      </c>
      <c r="AA69" s="111" t="str">
        <f t="shared" si="27"/>
        <v/>
      </c>
      <c r="AB69">
        <f t="shared" si="28"/>
        <v>0</v>
      </c>
      <c r="AC69" t="str">
        <f>IF(I69="","",IF(I69='Live Ladder'!B$4,'Live Ladder'!C$4,'Live Ladder'!D$4)+IF(J69='Live Ladder'!B$5,'Live Ladder'!C$5,'Live Ladder'!D$5)+IF(K69='Live Ladder'!B$6,'Live Ladder'!C$6,'Live Ladder'!D$6)+IF(L69='Live Ladder'!B$7,'Live Ladder'!C$7,'Live Ladder'!D$7)+IF(M69='Live Ladder'!B$8,'Live Ladder'!C$8,'Live Ladder'!D$8)+IF(N69='Live Ladder'!B$9,'Live Ladder'!C$9,'Live Ladder'!D$9)+IF(O69='Live Ladder'!B$10,'Live Ladder'!C$10,'Live Ladder'!D$10)+IF(P69='Live Ladder'!B$11,'Live Ladder'!C$11,'Live Ladder'!D$11))</f>
        <v/>
      </c>
      <c r="AF69" t="str">
        <f>IF(I69="","",IF(Q69="",0,IF(AND(Q69&gt;0,COUNTIF('Stats Calculator'!$T$24:$AA$24,Q69)=1),HLOOKUP(Q69,'Stats Calculator'!$T$24:$AA$27,4,FALSE),IF(AND(Q69&gt;0,COUNTIF('Stats Calculator'!$T$25:$AA$25,Q69)=1),HLOOKUP(Q69,'Stats Calculator'!$T$25:$AA$27,3,FALSE)))))</f>
        <v/>
      </c>
      <c r="AG69" t="str">
        <f>IF(I69="","",COUNTIF(I69,'Stats Calculator'!E$31)+COUNTIF(J69,'Stats Calculator'!E$32)+COUNTIF(K69,'Stats Calculator'!E$33)+COUNTIF(L69,'Stats Calculator'!E$34)+COUNTIF(M69,'Stats Calculator'!E$35)+COUNTIF(N69,'Stats Calculator'!E$36)+COUNTIF(O69,'Stats Calculator'!E$37)+COUNTIF(P69,'Stats Calculator'!E$38)-8+Data!S$3)</f>
        <v/>
      </c>
      <c r="AH69" t="str">
        <f>IF(I69="","",IF(Q69="",0,IF(Q69=0,0,IF(VLOOKUP(Engine!AF69,'Stats Calculator'!B$31:E$38,4,FALSE)="",0,IF(VLOOKUP(Engine!AF69,'Stats Calculator'!B$31:E$38,4,FALSE)=Q69,2,-2)))))</f>
        <v/>
      </c>
      <c r="AI69" t="str">
        <f>IF(I69="","",Data!S$3-COUNTA('Stats Calculator'!E$31:E$38))</f>
        <v/>
      </c>
      <c r="AJ69" t="str">
        <f>IF(I69="","",IF(AF69=0,0,IF(VLOOKUP(AF69,'Stats Calculator'!B$31:E$38,4,FALSE)&gt;0,0,2)))</f>
        <v/>
      </c>
      <c r="AK69" t="str">
        <f>IF(I69="","",IF(Data!S$3-Engine!AI69=AG69,2,0))</f>
        <v/>
      </c>
      <c r="AL69" t="str">
        <f t="shared" si="29"/>
        <v/>
      </c>
    </row>
    <row r="70" spans="1:38" x14ac:dyDescent="0.35">
      <c r="A70">
        <v>69</v>
      </c>
      <c r="B70" t="str">
        <f t="shared" si="20"/>
        <v/>
      </c>
      <c r="C70" s="111" t="str">
        <f t="shared" si="22"/>
        <v/>
      </c>
      <c r="D70" t="str">
        <f t="shared" si="21"/>
        <v/>
      </c>
      <c r="E70" s="3" t="str">
        <f t="shared" si="23"/>
        <v/>
      </c>
      <c r="F70" t="str">
        <f t="shared" si="24"/>
        <v/>
      </c>
      <c r="G70">
        <v>25</v>
      </c>
      <c r="H70" t="str">
        <f>Data!A71</f>
        <v>ZZZZZZ Suspend</v>
      </c>
      <c r="I70" s="2" t="str">
        <f>Data!C71</f>
        <v/>
      </c>
      <c r="J70" s="2" t="str">
        <f>Data!D71</f>
        <v/>
      </c>
      <c r="K70" s="2" t="str">
        <f>Data!E71</f>
        <v/>
      </c>
      <c r="L70" s="2" t="str">
        <f>IF(Data!$S$3&lt;Engine!L$1,0,Data!F71)</f>
        <v/>
      </c>
      <c r="M70" s="2" t="str">
        <f>IF(Data!$S$3&lt;Engine!M$1,0,Data!G71)</f>
        <v/>
      </c>
      <c r="N70" s="2" t="str">
        <f>IF(Data!$S$3&lt;Engine!N$1,0,Data!H71)</f>
        <v/>
      </c>
      <c r="O70" s="2" t="str">
        <f>IF(Data!$S$3&lt;Engine!O$1,0,Data!I71)</f>
        <v/>
      </c>
      <c r="P70" s="2" t="str">
        <f>IF(Data!$S$3&lt;Engine!P$1,0,Data!J71)</f>
        <v/>
      </c>
      <c r="Q70" s="11" t="str">
        <f>IF(Data!B71=1,Data!K71,"No Tips")</f>
        <v>No Tips</v>
      </c>
      <c r="R70" s="2" t="str">
        <f>Data!L71</f>
        <v/>
      </c>
      <c r="S70" s="2" t="str">
        <f>Data!M71</f>
        <v/>
      </c>
      <c r="T70" s="1" t="str">
        <f>IF(I70="","",COUNTIF('Live Ladder'!P:P,I70)+COUNTIF('Live Ladder'!P:P,J70)+COUNTIF('Live Ladder'!P:P,K70)+COUNTIF('Live Ladder'!P:P,L70)+COUNTIF('Live Ladder'!P:P,M70)+COUNTIF('Live Ladder'!P:P,N70)+COUNTIF('Live Ladder'!P:P,O70)+COUNTIF('Live Ladder'!P:P,P70))</f>
        <v/>
      </c>
      <c r="U70" s="1" t="str">
        <f>IF(I70="","",IF(COUNTIF('Live Ladder'!P:P,Engine!Q70)=1,2,IF(COUNTIF('Live Ladder'!Q:Q,Engine!Q70)=1,-2,0)))</f>
        <v/>
      </c>
      <c r="V70" s="1" t="str">
        <f>IF(I70="","",IF(T70=Data!S$3,2,0))</f>
        <v/>
      </c>
      <c r="W70" s="1">
        <f t="shared" si="25"/>
        <v>-2</v>
      </c>
      <c r="X70" s="1">
        <f>IF(I70="",AE$2,IF(I70='Live Ladder'!B$4,'Live Ladder'!C$4,'Live Ladder'!D$4)+IF(J70='Live Ladder'!B$5,'Live Ladder'!C$5,'Live Ladder'!D$5)+IF(K70='Live Ladder'!B$6,'Live Ladder'!C$6,'Live Ladder'!D$6)+IF(L70='Live Ladder'!B$7,'Live Ladder'!C$7,'Live Ladder'!D$7)+IF(M70='Live Ladder'!B$8,'Live Ladder'!C$8,'Live Ladder'!D$8)+IF(N70='Live Ladder'!B$9,'Live Ladder'!C$9,'Live Ladder'!D$9)+IF(O70='Live Ladder'!B$10,'Live Ladder'!C$10,'Live Ladder'!D$10)+IF(P70='Live Ladder'!B$11,'Live Ladder'!C$11,'Live Ladder'!D$11))</f>
        <v>18</v>
      </c>
      <c r="Y70" t="str">
        <f t="shared" si="17"/>
        <v/>
      </c>
      <c r="Z70" t="str">
        <f t="shared" si="26"/>
        <v/>
      </c>
      <c r="AA70" s="111" t="str">
        <f t="shared" si="27"/>
        <v/>
      </c>
      <c r="AB70">
        <f t="shared" si="28"/>
        <v>0</v>
      </c>
      <c r="AC70" t="str">
        <f>IF(I70="","",IF(I70='Live Ladder'!B$4,'Live Ladder'!C$4,'Live Ladder'!D$4)+IF(J70='Live Ladder'!B$5,'Live Ladder'!C$5,'Live Ladder'!D$5)+IF(K70='Live Ladder'!B$6,'Live Ladder'!C$6,'Live Ladder'!D$6)+IF(L70='Live Ladder'!B$7,'Live Ladder'!C$7,'Live Ladder'!D$7)+IF(M70='Live Ladder'!B$8,'Live Ladder'!C$8,'Live Ladder'!D$8)+IF(N70='Live Ladder'!B$9,'Live Ladder'!C$9,'Live Ladder'!D$9)+IF(O70='Live Ladder'!B$10,'Live Ladder'!C$10,'Live Ladder'!D$10)+IF(P70='Live Ladder'!B$11,'Live Ladder'!C$11,'Live Ladder'!D$11))</f>
        <v/>
      </c>
      <c r="AF70" t="str">
        <f>IF(I70="","",IF(Q70="",0,IF(AND(Q70&gt;0,COUNTIF('Stats Calculator'!$T$24:$AA$24,Q70)=1),HLOOKUP(Q70,'Stats Calculator'!$T$24:$AA$27,4,FALSE),IF(AND(Q70&gt;0,COUNTIF('Stats Calculator'!$T$25:$AA$25,Q70)=1),HLOOKUP(Q70,'Stats Calculator'!$T$25:$AA$27,3,FALSE)))))</f>
        <v/>
      </c>
      <c r="AG70" t="str">
        <f>IF(I70="","",COUNTIF(I70,'Stats Calculator'!E$31)+COUNTIF(J70,'Stats Calculator'!E$32)+COUNTIF(K70,'Stats Calculator'!E$33)+COUNTIF(L70,'Stats Calculator'!E$34)+COUNTIF(M70,'Stats Calculator'!E$35)+COUNTIF(N70,'Stats Calculator'!E$36)+COUNTIF(O70,'Stats Calculator'!E$37)+COUNTIF(P70,'Stats Calculator'!E$38)-8+Data!S$3)</f>
        <v/>
      </c>
      <c r="AH70" t="str">
        <f>IF(I70="","",IF(Q70="",0,IF(Q70=0,0,IF(VLOOKUP(Engine!AF70,'Stats Calculator'!B$31:E$38,4,FALSE)="",0,IF(VLOOKUP(Engine!AF70,'Stats Calculator'!B$31:E$38,4,FALSE)=Q70,2,-2)))))</f>
        <v/>
      </c>
      <c r="AI70" t="str">
        <f>IF(I70="","",Data!S$3-COUNTA('Stats Calculator'!E$31:E$38))</f>
        <v/>
      </c>
      <c r="AJ70" t="str">
        <f>IF(I70="","",IF(AF70=0,0,IF(VLOOKUP(AF70,'Stats Calculator'!B$31:E$38,4,FALSE)&gt;0,0,2)))</f>
        <v/>
      </c>
      <c r="AK70" t="str">
        <f>IF(I70="","",IF(Data!S$3-Engine!AI70=AG70,2,0))</f>
        <v/>
      </c>
      <c r="AL70" t="str">
        <f t="shared" si="29"/>
        <v/>
      </c>
    </row>
    <row r="71" spans="1:38" x14ac:dyDescent="0.35">
      <c r="A71">
        <v>70</v>
      </c>
      <c r="B71" t="str">
        <f t="shared" si="20"/>
        <v/>
      </c>
      <c r="C71" s="111" t="str">
        <f t="shared" si="22"/>
        <v/>
      </c>
      <c r="D71" t="str">
        <f t="shared" si="21"/>
        <v/>
      </c>
      <c r="E71" s="3" t="str">
        <f t="shared" si="23"/>
        <v/>
      </c>
      <c r="F71" t="str">
        <f t="shared" si="24"/>
        <v/>
      </c>
      <c r="G71">
        <v>24</v>
      </c>
      <c r="H71" t="str">
        <f>Data!A72</f>
        <v>ZZZZZZ Suspend</v>
      </c>
      <c r="I71" s="2" t="str">
        <f>Data!C72</f>
        <v/>
      </c>
      <c r="J71" s="2" t="str">
        <f>Data!D72</f>
        <v/>
      </c>
      <c r="K71" s="2" t="str">
        <f>Data!E72</f>
        <v/>
      </c>
      <c r="L71" s="2" t="str">
        <f>IF(Data!$S$3&lt;Engine!L$1,0,Data!F72)</f>
        <v/>
      </c>
      <c r="M71" s="2" t="str">
        <f>IF(Data!$S$3&lt;Engine!M$1,0,Data!G72)</f>
        <v/>
      </c>
      <c r="N71" s="2" t="str">
        <f>IF(Data!$S$3&lt;Engine!N$1,0,Data!H72)</f>
        <v/>
      </c>
      <c r="O71" s="2" t="str">
        <f>IF(Data!$S$3&lt;Engine!O$1,0,Data!I72)</f>
        <v/>
      </c>
      <c r="P71" s="2" t="str">
        <f>IF(Data!$S$3&lt;Engine!P$1,0,Data!J72)</f>
        <v/>
      </c>
      <c r="Q71" s="11" t="str">
        <f>IF(Data!B72=1,Data!K72,"No Tips")</f>
        <v>No Tips</v>
      </c>
      <c r="R71" s="2" t="str">
        <f>Data!L72</f>
        <v/>
      </c>
      <c r="S71" s="2" t="str">
        <f>Data!M72</f>
        <v/>
      </c>
      <c r="T71" s="1" t="str">
        <f>IF(I71="","",COUNTIF('Live Ladder'!P:P,I71)+COUNTIF('Live Ladder'!P:P,J71)+COUNTIF('Live Ladder'!P:P,K71)+COUNTIF('Live Ladder'!P:P,L71)+COUNTIF('Live Ladder'!P:P,M71)+COUNTIF('Live Ladder'!P:P,N71)+COUNTIF('Live Ladder'!P:P,O71)+COUNTIF('Live Ladder'!P:P,P71))</f>
        <v/>
      </c>
      <c r="U71" s="1" t="str">
        <f>IF(I71="","",IF(COUNTIF('Live Ladder'!P:P,Engine!Q71)=1,2,IF(COUNTIF('Live Ladder'!Q:Q,Engine!Q71)=1,-2,0)))</f>
        <v/>
      </c>
      <c r="V71" s="1" t="str">
        <f>IF(I71="","",IF(T71=Data!S$3,2,0))</f>
        <v/>
      </c>
      <c r="W71" s="1">
        <f t="shared" si="25"/>
        <v>-2</v>
      </c>
      <c r="X71" s="1">
        <f>IF(I71="",AE$2,IF(I71='Live Ladder'!B$4,'Live Ladder'!C$4,'Live Ladder'!D$4)+IF(J71='Live Ladder'!B$5,'Live Ladder'!C$5,'Live Ladder'!D$5)+IF(K71='Live Ladder'!B$6,'Live Ladder'!C$6,'Live Ladder'!D$6)+IF(L71='Live Ladder'!B$7,'Live Ladder'!C$7,'Live Ladder'!D$7)+IF(M71='Live Ladder'!B$8,'Live Ladder'!C$8,'Live Ladder'!D$8)+IF(N71='Live Ladder'!B$9,'Live Ladder'!C$9,'Live Ladder'!D$9)+IF(O71='Live Ladder'!B$10,'Live Ladder'!C$10,'Live Ladder'!D$10)+IF(P71='Live Ladder'!B$11,'Live Ladder'!C$11,'Live Ladder'!D$11))</f>
        <v>18</v>
      </c>
      <c r="Y71" t="str">
        <f t="shared" si="17"/>
        <v/>
      </c>
      <c r="Z71" t="str">
        <f t="shared" si="26"/>
        <v/>
      </c>
      <c r="AA71" s="111" t="str">
        <f t="shared" si="27"/>
        <v/>
      </c>
      <c r="AB71">
        <f t="shared" si="28"/>
        <v>0</v>
      </c>
      <c r="AC71" t="str">
        <f>IF(I71="","",IF(I71='Live Ladder'!B$4,'Live Ladder'!C$4,'Live Ladder'!D$4)+IF(J71='Live Ladder'!B$5,'Live Ladder'!C$5,'Live Ladder'!D$5)+IF(K71='Live Ladder'!B$6,'Live Ladder'!C$6,'Live Ladder'!D$6)+IF(L71='Live Ladder'!B$7,'Live Ladder'!C$7,'Live Ladder'!D$7)+IF(M71='Live Ladder'!B$8,'Live Ladder'!C$8,'Live Ladder'!D$8)+IF(N71='Live Ladder'!B$9,'Live Ladder'!C$9,'Live Ladder'!D$9)+IF(O71='Live Ladder'!B$10,'Live Ladder'!C$10,'Live Ladder'!D$10)+IF(P71='Live Ladder'!B$11,'Live Ladder'!C$11,'Live Ladder'!D$11))</f>
        <v/>
      </c>
      <c r="AF71" t="str">
        <f>IF(I71="","",IF(Q71="",0,IF(AND(Q71&gt;0,COUNTIF('Stats Calculator'!$T$24:$AA$24,Q71)=1),HLOOKUP(Q71,'Stats Calculator'!$T$24:$AA$27,4,FALSE),IF(AND(Q71&gt;0,COUNTIF('Stats Calculator'!$T$25:$AA$25,Q71)=1),HLOOKUP(Q71,'Stats Calculator'!$T$25:$AA$27,3,FALSE)))))</f>
        <v/>
      </c>
      <c r="AG71" t="str">
        <f>IF(I71="","",COUNTIF(I71,'Stats Calculator'!E$31)+COUNTIF(J71,'Stats Calculator'!E$32)+COUNTIF(K71,'Stats Calculator'!E$33)+COUNTIF(L71,'Stats Calculator'!E$34)+COUNTIF(M71,'Stats Calculator'!E$35)+COUNTIF(N71,'Stats Calculator'!E$36)+COUNTIF(O71,'Stats Calculator'!E$37)+COUNTIF(P71,'Stats Calculator'!E$38)-8+Data!S$3)</f>
        <v/>
      </c>
      <c r="AH71" t="str">
        <f>IF(I71="","",IF(Q71="",0,IF(Q71=0,0,IF(VLOOKUP(Engine!AF71,'Stats Calculator'!B$31:E$38,4,FALSE)="",0,IF(VLOOKUP(Engine!AF71,'Stats Calculator'!B$31:E$38,4,FALSE)=Q71,2,-2)))))</f>
        <v/>
      </c>
      <c r="AI71" t="str">
        <f>IF(I71="","",Data!S$3-COUNTA('Stats Calculator'!E$31:E$38))</f>
        <v/>
      </c>
      <c r="AJ71" t="str">
        <f>IF(I71="","",IF(AF71=0,0,IF(VLOOKUP(AF71,'Stats Calculator'!B$31:E$38,4,FALSE)&gt;0,0,2)))</f>
        <v/>
      </c>
      <c r="AK71" t="str">
        <f>IF(I71="","",IF(Data!S$3-Engine!AI71=AG71,2,0))</f>
        <v/>
      </c>
      <c r="AL71" t="str">
        <f t="shared" si="29"/>
        <v/>
      </c>
    </row>
    <row r="72" spans="1:38" x14ac:dyDescent="0.35">
      <c r="A72">
        <v>71</v>
      </c>
      <c r="B72" t="str">
        <f t="shared" si="20"/>
        <v/>
      </c>
      <c r="C72" s="111" t="str">
        <f t="shared" si="22"/>
        <v/>
      </c>
      <c r="D72" t="str">
        <f t="shared" si="21"/>
        <v/>
      </c>
      <c r="E72" s="3" t="str">
        <f t="shared" si="23"/>
        <v/>
      </c>
      <c r="F72" t="str">
        <f t="shared" si="24"/>
        <v/>
      </c>
      <c r="G72">
        <v>23</v>
      </c>
      <c r="H72" t="str">
        <f>Data!A73</f>
        <v>ZZZZZZ Suspend</v>
      </c>
      <c r="I72" s="2" t="str">
        <f>Data!C73</f>
        <v/>
      </c>
      <c r="J72" s="2" t="str">
        <f>Data!D73</f>
        <v/>
      </c>
      <c r="K72" s="2" t="str">
        <f>Data!E73</f>
        <v/>
      </c>
      <c r="L72" s="2" t="str">
        <f>IF(Data!$S$3&lt;Engine!L$1,0,Data!F73)</f>
        <v/>
      </c>
      <c r="M72" s="2" t="str">
        <f>IF(Data!$S$3&lt;Engine!M$1,0,Data!G73)</f>
        <v/>
      </c>
      <c r="N72" s="2" t="str">
        <f>IF(Data!$S$3&lt;Engine!N$1,0,Data!H73)</f>
        <v/>
      </c>
      <c r="O72" s="2" t="str">
        <f>IF(Data!$S$3&lt;Engine!O$1,0,Data!I73)</f>
        <v/>
      </c>
      <c r="P72" s="2" t="str">
        <f>IF(Data!$S$3&lt;Engine!P$1,0,Data!J73)</f>
        <v/>
      </c>
      <c r="Q72" s="11" t="str">
        <f>IF(Data!B73=1,Data!K73,"No Tips")</f>
        <v>No Tips</v>
      </c>
      <c r="R72" s="2" t="str">
        <f>Data!L73</f>
        <v/>
      </c>
      <c r="S72" s="2" t="str">
        <f>Data!M73</f>
        <v/>
      </c>
      <c r="T72" s="1" t="str">
        <f>IF(I72="","",COUNTIF('Live Ladder'!P:P,I72)+COUNTIF('Live Ladder'!P:P,J72)+COUNTIF('Live Ladder'!P:P,K72)+COUNTIF('Live Ladder'!P:P,L72)+COUNTIF('Live Ladder'!P:P,M72)+COUNTIF('Live Ladder'!P:P,N72)+COUNTIF('Live Ladder'!P:P,O72)+COUNTIF('Live Ladder'!P:P,P72))</f>
        <v/>
      </c>
      <c r="U72" s="1" t="str">
        <f>IF(I72="","",IF(COUNTIF('Live Ladder'!P:P,Engine!Q72)=1,2,IF(COUNTIF('Live Ladder'!Q:Q,Engine!Q72)=1,-2,0)))</f>
        <v/>
      </c>
      <c r="V72" s="1" t="str">
        <f>IF(I72="","",IF(T72=Data!S$3,2,0))</f>
        <v/>
      </c>
      <c r="W72" s="1">
        <f t="shared" si="25"/>
        <v>-2</v>
      </c>
      <c r="X72" s="1">
        <f>IF(I72="",AE$2,IF(I72='Live Ladder'!B$4,'Live Ladder'!C$4,'Live Ladder'!D$4)+IF(J72='Live Ladder'!B$5,'Live Ladder'!C$5,'Live Ladder'!D$5)+IF(K72='Live Ladder'!B$6,'Live Ladder'!C$6,'Live Ladder'!D$6)+IF(L72='Live Ladder'!B$7,'Live Ladder'!C$7,'Live Ladder'!D$7)+IF(M72='Live Ladder'!B$8,'Live Ladder'!C$8,'Live Ladder'!D$8)+IF(N72='Live Ladder'!B$9,'Live Ladder'!C$9,'Live Ladder'!D$9)+IF(O72='Live Ladder'!B$10,'Live Ladder'!C$10,'Live Ladder'!D$10)+IF(P72='Live Ladder'!B$11,'Live Ladder'!C$11,'Live Ladder'!D$11))</f>
        <v>18</v>
      </c>
      <c r="Y72" t="str">
        <f t="shared" si="17"/>
        <v/>
      </c>
      <c r="Z72" t="str">
        <f t="shared" si="26"/>
        <v/>
      </c>
      <c r="AA72" s="111" t="str">
        <f t="shared" si="27"/>
        <v/>
      </c>
      <c r="AB72">
        <f t="shared" si="28"/>
        <v>0</v>
      </c>
      <c r="AC72" t="str">
        <f>IF(I72="","",IF(I72='Live Ladder'!B$4,'Live Ladder'!C$4,'Live Ladder'!D$4)+IF(J72='Live Ladder'!B$5,'Live Ladder'!C$5,'Live Ladder'!D$5)+IF(K72='Live Ladder'!B$6,'Live Ladder'!C$6,'Live Ladder'!D$6)+IF(L72='Live Ladder'!B$7,'Live Ladder'!C$7,'Live Ladder'!D$7)+IF(M72='Live Ladder'!B$8,'Live Ladder'!C$8,'Live Ladder'!D$8)+IF(N72='Live Ladder'!B$9,'Live Ladder'!C$9,'Live Ladder'!D$9)+IF(O72='Live Ladder'!B$10,'Live Ladder'!C$10,'Live Ladder'!D$10)+IF(P72='Live Ladder'!B$11,'Live Ladder'!C$11,'Live Ladder'!D$11))</f>
        <v/>
      </c>
      <c r="AF72" t="str">
        <f>IF(I72="","",IF(Q72="",0,IF(AND(Q72&gt;0,COUNTIF('Stats Calculator'!$T$24:$AA$24,Q72)=1),HLOOKUP(Q72,'Stats Calculator'!$T$24:$AA$27,4,FALSE),IF(AND(Q72&gt;0,COUNTIF('Stats Calculator'!$T$25:$AA$25,Q72)=1),HLOOKUP(Q72,'Stats Calculator'!$T$25:$AA$27,3,FALSE)))))</f>
        <v/>
      </c>
      <c r="AG72" t="str">
        <f>IF(I72="","",COUNTIF(I72,'Stats Calculator'!E$31)+COUNTIF(J72,'Stats Calculator'!E$32)+COUNTIF(K72,'Stats Calculator'!E$33)+COUNTIF(L72,'Stats Calculator'!E$34)+COUNTIF(M72,'Stats Calculator'!E$35)+COUNTIF(N72,'Stats Calculator'!E$36)+COUNTIF(O72,'Stats Calculator'!E$37)+COUNTIF(P72,'Stats Calculator'!E$38)-8+Data!S$3)</f>
        <v/>
      </c>
      <c r="AH72" t="str">
        <f>IF(I72="","",IF(Q72="",0,IF(Q72=0,0,IF(VLOOKUP(Engine!AF72,'Stats Calculator'!B$31:E$38,4,FALSE)="",0,IF(VLOOKUP(Engine!AF72,'Stats Calculator'!B$31:E$38,4,FALSE)=Q72,2,-2)))))</f>
        <v/>
      </c>
      <c r="AI72" t="str">
        <f>IF(I72="","",Data!S$3-COUNTA('Stats Calculator'!E$31:E$38))</f>
        <v/>
      </c>
      <c r="AJ72" t="str">
        <f>IF(I72="","",IF(AF72=0,0,IF(VLOOKUP(AF72,'Stats Calculator'!B$31:E$38,4,FALSE)&gt;0,0,2)))</f>
        <v/>
      </c>
      <c r="AK72" t="str">
        <f>IF(I72="","",IF(Data!S$3-Engine!AI72=AG72,2,0))</f>
        <v/>
      </c>
      <c r="AL72" t="str">
        <f t="shared" si="29"/>
        <v/>
      </c>
    </row>
    <row r="73" spans="1:38" x14ac:dyDescent="0.35">
      <c r="A73">
        <v>72</v>
      </c>
      <c r="B73" t="str">
        <f t="shared" si="20"/>
        <v/>
      </c>
      <c r="C73" s="111" t="str">
        <f t="shared" si="22"/>
        <v/>
      </c>
      <c r="D73" t="str">
        <f t="shared" si="21"/>
        <v/>
      </c>
      <c r="E73" s="3" t="str">
        <f t="shared" si="23"/>
        <v/>
      </c>
      <c r="F73" t="str">
        <f t="shared" si="24"/>
        <v/>
      </c>
      <c r="G73">
        <v>22</v>
      </c>
      <c r="H73" t="str">
        <f>Data!A74</f>
        <v>ZZZZZZ Suspend</v>
      </c>
      <c r="I73" s="2" t="str">
        <f>Data!C74</f>
        <v/>
      </c>
      <c r="J73" s="2" t="str">
        <f>Data!D74</f>
        <v/>
      </c>
      <c r="K73" s="2" t="str">
        <f>Data!E74</f>
        <v/>
      </c>
      <c r="L73" s="2" t="str">
        <f>IF(Data!$S$3&lt;Engine!L$1,0,Data!F74)</f>
        <v/>
      </c>
      <c r="M73" s="2" t="str">
        <f>IF(Data!$S$3&lt;Engine!M$1,0,Data!G74)</f>
        <v/>
      </c>
      <c r="N73" s="2" t="str">
        <f>IF(Data!$S$3&lt;Engine!N$1,0,Data!H74)</f>
        <v/>
      </c>
      <c r="O73" s="2" t="str">
        <f>IF(Data!$S$3&lt;Engine!O$1,0,Data!I74)</f>
        <v/>
      </c>
      <c r="P73" s="2" t="str">
        <f>IF(Data!$S$3&lt;Engine!P$1,0,Data!J74)</f>
        <v/>
      </c>
      <c r="Q73" s="11" t="str">
        <f>IF(Data!B74=1,Data!K74,"No Tips")</f>
        <v>No Tips</v>
      </c>
      <c r="R73" s="2" t="str">
        <f>Data!L74</f>
        <v/>
      </c>
      <c r="S73" s="2" t="str">
        <f>Data!M74</f>
        <v/>
      </c>
      <c r="T73" s="1" t="str">
        <f>IF(I73="","",COUNTIF('Live Ladder'!P:P,I73)+COUNTIF('Live Ladder'!P:P,J73)+COUNTIF('Live Ladder'!P:P,K73)+COUNTIF('Live Ladder'!P:P,L73)+COUNTIF('Live Ladder'!P:P,M73)+COUNTIF('Live Ladder'!P:P,N73)+COUNTIF('Live Ladder'!P:P,O73)+COUNTIF('Live Ladder'!P:P,P73))</f>
        <v/>
      </c>
      <c r="U73" s="1" t="str">
        <f>IF(I73="","",IF(COUNTIF('Live Ladder'!P:P,Engine!Q73)=1,2,IF(COUNTIF('Live Ladder'!Q:Q,Engine!Q73)=1,-2,0)))</f>
        <v/>
      </c>
      <c r="V73" s="1" t="str">
        <f>IF(I73="","",IF(T73=Data!S$3,2,0))</f>
        <v/>
      </c>
      <c r="W73" s="1">
        <f t="shared" si="25"/>
        <v>-2</v>
      </c>
      <c r="X73" s="1">
        <f>IF(I73="",AE$2,IF(I73='Live Ladder'!B$4,'Live Ladder'!C$4,'Live Ladder'!D$4)+IF(J73='Live Ladder'!B$5,'Live Ladder'!C$5,'Live Ladder'!D$5)+IF(K73='Live Ladder'!B$6,'Live Ladder'!C$6,'Live Ladder'!D$6)+IF(L73='Live Ladder'!B$7,'Live Ladder'!C$7,'Live Ladder'!D$7)+IF(M73='Live Ladder'!B$8,'Live Ladder'!C$8,'Live Ladder'!D$8)+IF(N73='Live Ladder'!B$9,'Live Ladder'!C$9,'Live Ladder'!D$9)+IF(O73='Live Ladder'!B$10,'Live Ladder'!C$10,'Live Ladder'!D$10)+IF(P73='Live Ladder'!B$11,'Live Ladder'!C$11,'Live Ladder'!D$11))</f>
        <v>18</v>
      </c>
      <c r="Y73" t="str">
        <f t="shared" si="17"/>
        <v/>
      </c>
      <c r="Z73" t="str">
        <f t="shared" si="26"/>
        <v/>
      </c>
      <c r="AA73" s="111" t="str">
        <f t="shared" si="27"/>
        <v/>
      </c>
      <c r="AB73">
        <f t="shared" si="28"/>
        <v>0</v>
      </c>
      <c r="AC73" t="str">
        <f>IF(I73="","",IF(I73='Live Ladder'!B$4,'Live Ladder'!C$4,'Live Ladder'!D$4)+IF(J73='Live Ladder'!B$5,'Live Ladder'!C$5,'Live Ladder'!D$5)+IF(K73='Live Ladder'!B$6,'Live Ladder'!C$6,'Live Ladder'!D$6)+IF(L73='Live Ladder'!B$7,'Live Ladder'!C$7,'Live Ladder'!D$7)+IF(M73='Live Ladder'!B$8,'Live Ladder'!C$8,'Live Ladder'!D$8)+IF(N73='Live Ladder'!B$9,'Live Ladder'!C$9,'Live Ladder'!D$9)+IF(O73='Live Ladder'!B$10,'Live Ladder'!C$10,'Live Ladder'!D$10)+IF(P73='Live Ladder'!B$11,'Live Ladder'!C$11,'Live Ladder'!D$11))</f>
        <v/>
      </c>
      <c r="AF73" t="str">
        <f>IF(I73="","",IF(Q73="",0,IF(AND(Q73&gt;0,COUNTIF('Stats Calculator'!$T$24:$AA$24,Q73)=1),HLOOKUP(Q73,'Stats Calculator'!$T$24:$AA$27,4,FALSE),IF(AND(Q73&gt;0,COUNTIF('Stats Calculator'!$T$25:$AA$25,Q73)=1),HLOOKUP(Q73,'Stats Calculator'!$T$25:$AA$27,3,FALSE)))))</f>
        <v/>
      </c>
      <c r="AG73" t="str">
        <f>IF(I73="","",COUNTIF(I73,'Stats Calculator'!E$31)+COUNTIF(J73,'Stats Calculator'!E$32)+COUNTIF(K73,'Stats Calculator'!E$33)+COUNTIF(L73,'Stats Calculator'!E$34)+COUNTIF(M73,'Stats Calculator'!E$35)+COUNTIF(N73,'Stats Calculator'!E$36)+COUNTIF(O73,'Stats Calculator'!E$37)+COUNTIF(P73,'Stats Calculator'!E$38)-8+Data!S$3)</f>
        <v/>
      </c>
      <c r="AH73" t="str">
        <f>IF(I73="","",IF(Q73="",0,IF(Q73=0,0,IF(VLOOKUP(Engine!AF73,'Stats Calculator'!B$31:E$38,4,FALSE)="",0,IF(VLOOKUP(Engine!AF73,'Stats Calculator'!B$31:E$38,4,FALSE)=Q73,2,-2)))))</f>
        <v/>
      </c>
      <c r="AI73" t="str">
        <f>IF(I73="","",Data!S$3-COUNTA('Stats Calculator'!E$31:E$38))</f>
        <v/>
      </c>
      <c r="AJ73" t="str">
        <f>IF(I73="","",IF(AF73=0,0,IF(VLOOKUP(AF73,'Stats Calculator'!B$31:E$38,4,FALSE)&gt;0,0,2)))</f>
        <v/>
      </c>
      <c r="AK73" t="str">
        <f>IF(I73="","",IF(Data!S$3-Engine!AI73=AG73,2,0))</f>
        <v/>
      </c>
      <c r="AL73" t="str">
        <f t="shared" si="29"/>
        <v/>
      </c>
    </row>
    <row r="74" spans="1:38" s="10" customFormat="1" x14ac:dyDescent="0.35">
      <c r="A74" s="10">
        <v>73</v>
      </c>
      <c r="B74" s="10" t="str">
        <f t="shared" si="20"/>
        <v/>
      </c>
      <c r="C74" s="111" t="str">
        <f t="shared" si="22"/>
        <v/>
      </c>
      <c r="D74" s="10" t="str">
        <f t="shared" si="21"/>
        <v/>
      </c>
      <c r="E74" s="106" t="str">
        <f t="shared" si="23"/>
        <v/>
      </c>
      <c r="F74" s="10" t="str">
        <f t="shared" si="24"/>
        <v/>
      </c>
      <c r="G74">
        <v>21</v>
      </c>
      <c r="H74" t="str">
        <f>Data!A75</f>
        <v>ZZZZZZ Suspend</v>
      </c>
      <c r="I74" s="2" t="str">
        <f>Data!C75</f>
        <v/>
      </c>
      <c r="J74" s="2" t="str">
        <f>Data!D75</f>
        <v/>
      </c>
      <c r="K74" s="2" t="str">
        <f>Data!E75</f>
        <v/>
      </c>
      <c r="L74" s="2" t="str">
        <f>IF(Data!$S$3&lt;Engine!L$1,0,Data!F75)</f>
        <v/>
      </c>
      <c r="M74" s="2" t="str">
        <f>IF(Data!$S$3&lt;Engine!M$1,0,Data!G75)</f>
        <v/>
      </c>
      <c r="N74" s="2" t="str">
        <f>IF(Data!$S$3&lt;Engine!N$1,0,Data!H75)</f>
        <v/>
      </c>
      <c r="O74" s="2" t="str">
        <f>IF(Data!$S$3&lt;Engine!O$1,0,Data!I75)</f>
        <v/>
      </c>
      <c r="P74" s="2" t="str">
        <f>IF(Data!$S$3&lt;Engine!P$1,0,Data!J75)</f>
        <v/>
      </c>
      <c r="Q74" s="11" t="str">
        <f>IF(Data!B75=1,Data!K75,"No Tips")</f>
        <v>No Tips</v>
      </c>
      <c r="R74" s="2" t="str">
        <f>Data!L75</f>
        <v/>
      </c>
      <c r="S74" s="2" t="str">
        <f>Data!M75</f>
        <v/>
      </c>
      <c r="T74" s="1" t="str">
        <f>IF(I74="","",COUNTIF('Live Ladder'!P:P,I74)+COUNTIF('Live Ladder'!P:P,J74)+COUNTIF('Live Ladder'!P:P,K74)+COUNTIF('Live Ladder'!P:P,L74)+COUNTIF('Live Ladder'!P:P,M74)+COUNTIF('Live Ladder'!P:P,N74)+COUNTIF('Live Ladder'!P:P,O74)+COUNTIF('Live Ladder'!P:P,P74))</f>
        <v/>
      </c>
      <c r="U74" s="1" t="str">
        <f>IF(I74="","",IF(COUNTIF('Live Ladder'!P:P,Engine!Q74)=1,2,IF(COUNTIF('Live Ladder'!Q:Q,Engine!Q74)=1,-2,0)))</f>
        <v/>
      </c>
      <c r="V74" s="1" t="str">
        <f>IF(I74="","",IF(T74=Data!S$3,2,0))</f>
        <v/>
      </c>
      <c r="W74" s="1">
        <f t="shared" si="25"/>
        <v>-2</v>
      </c>
      <c r="X74" s="107">
        <f>IF(I74="",AE$2,IF(I74='Live Ladder'!B$4,'Live Ladder'!C$4,'Live Ladder'!D$4)+IF(J74='Live Ladder'!B$5,'Live Ladder'!C$5,'Live Ladder'!D$5)+IF(K74='Live Ladder'!B$6,'Live Ladder'!C$6,'Live Ladder'!D$6)+IF(L74='Live Ladder'!B$7,'Live Ladder'!C$7,'Live Ladder'!D$7)+IF(M74='Live Ladder'!B$8,'Live Ladder'!C$8,'Live Ladder'!D$8)+IF(N74='Live Ladder'!B$9,'Live Ladder'!C$9,'Live Ladder'!D$9)+IF(O74='Live Ladder'!B$10,'Live Ladder'!C$10,'Live Ladder'!D$10)+IF(P74='Live Ladder'!B$11,'Live Ladder'!C$11,'Live Ladder'!D$11))</f>
        <v>18</v>
      </c>
      <c r="Y74" t="str">
        <f t="shared" si="17"/>
        <v/>
      </c>
      <c r="Z74" s="10" t="str">
        <f t="shared" si="26"/>
        <v/>
      </c>
      <c r="AA74" s="111" t="str">
        <f t="shared" si="27"/>
        <v/>
      </c>
      <c r="AB74">
        <f t="shared" si="28"/>
        <v>0</v>
      </c>
      <c r="AC74" s="10" t="str">
        <f>IF(I74="","",IF(I74='Live Ladder'!B$4,'Live Ladder'!C$4,'Live Ladder'!D$4)+IF(J74='Live Ladder'!B$5,'Live Ladder'!C$5,'Live Ladder'!D$5)+IF(K74='Live Ladder'!B$6,'Live Ladder'!C$6,'Live Ladder'!D$6)+IF(L74='Live Ladder'!B$7,'Live Ladder'!C$7,'Live Ladder'!D$7)+IF(M74='Live Ladder'!B$8,'Live Ladder'!C$8,'Live Ladder'!D$8)+IF(N74='Live Ladder'!B$9,'Live Ladder'!C$9,'Live Ladder'!D$9)+IF(O74='Live Ladder'!B$10,'Live Ladder'!C$10,'Live Ladder'!D$10)+IF(P74='Live Ladder'!B$11,'Live Ladder'!C$11,'Live Ladder'!D$11))</f>
        <v/>
      </c>
      <c r="AF74" s="10" t="str">
        <f>IF(I74="","",IF(Q74="",0,IF(AND(Q74&gt;0,COUNTIF('Stats Calculator'!$T$24:$AA$24,Q74)=1),HLOOKUP(Q74,'Stats Calculator'!$T$24:$AA$27,4,FALSE),IF(AND(Q74&gt;0,COUNTIF('Stats Calculator'!$T$25:$AA$25,Q74)=1),HLOOKUP(Q74,'Stats Calculator'!$T$25:$AA$27,3,FALSE)))))</f>
        <v/>
      </c>
      <c r="AG74" s="10" t="str">
        <f>IF(I74="","",COUNTIF(I74,'Stats Calculator'!E$31)+COUNTIF(J74,'Stats Calculator'!E$32)+COUNTIF(K74,'Stats Calculator'!E$33)+COUNTIF(L74,'Stats Calculator'!E$34)+COUNTIF(M74,'Stats Calculator'!E$35)+COUNTIF(N74,'Stats Calculator'!E$36)+COUNTIF(O74,'Stats Calculator'!E$37)+COUNTIF(P74,'Stats Calculator'!E$38)-8+Data!S$3)</f>
        <v/>
      </c>
      <c r="AH74" s="10" t="str">
        <f>IF(I74="","",IF(Q74="",0,IF(Q74=0,0,IF(VLOOKUP(Engine!AF74,'Stats Calculator'!B$31:E$38,4,FALSE)="",0,IF(VLOOKUP(Engine!AF74,'Stats Calculator'!B$31:E$38,4,FALSE)=Q74,2,-2)))))</f>
        <v/>
      </c>
      <c r="AI74" s="10" t="str">
        <f>IF(I74="","",Data!S$3-COUNTA('Stats Calculator'!E$31:E$38))</f>
        <v/>
      </c>
      <c r="AJ74" s="10" t="str">
        <f>IF(I74="","",IF(AF74=0,0,IF(VLOOKUP(AF74,'Stats Calculator'!B$31:E$38,4,FALSE)&gt;0,0,2)))</f>
        <v/>
      </c>
      <c r="AK74" s="10" t="str">
        <f>IF(I74="","",IF(Data!S$3-Engine!AI74=AG74,2,0))</f>
        <v/>
      </c>
      <c r="AL74" s="10" t="str">
        <f t="shared" si="29"/>
        <v/>
      </c>
    </row>
    <row r="75" spans="1:38" x14ac:dyDescent="0.35">
      <c r="A75">
        <v>74</v>
      </c>
      <c r="B75" t="str">
        <f t="shared" si="20"/>
        <v/>
      </c>
      <c r="C75" s="111" t="str">
        <f t="shared" si="22"/>
        <v/>
      </c>
      <c r="D75" t="str">
        <f t="shared" si="21"/>
        <v/>
      </c>
      <c r="E75" s="3" t="str">
        <f t="shared" si="23"/>
        <v/>
      </c>
      <c r="F75" t="str">
        <f t="shared" si="24"/>
        <v/>
      </c>
      <c r="G75">
        <v>20</v>
      </c>
      <c r="H75" t="str">
        <f>Data!A76</f>
        <v>ZZZZZZ Suspend</v>
      </c>
      <c r="I75" s="2" t="str">
        <f>Data!C76</f>
        <v/>
      </c>
      <c r="J75" s="2" t="str">
        <f>Data!D76</f>
        <v/>
      </c>
      <c r="K75" s="2" t="str">
        <f>Data!E76</f>
        <v/>
      </c>
      <c r="L75" s="2" t="str">
        <f>IF(Data!$S$3&lt;Engine!L$1,0,Data!F76)</f>
        <v/>
      </c>
      <c r="M75" s="2" t="str">
        <f>IF(Data!$S$3&lt;Engine!M$1,0,Data!G76)</f>
        <v/>
      </c>
      <c r="N75" s="2" t="str">
        <f>IF(Data!$S$3&lt;Engine!N$1,0,Data!H76)</f>
        <v/>
      </c>
      <c r="O75" s="2" t="str">
        <f>IF(Data!$S$3&lt;Engine!O$1,0,Data!I76)</f>
        <v/>
      </c>
      <c r="P75" s="2" t="str">
        <f>IF(Data!$S$3&lt;Engine!P$1,0,Data!J76)</f>
        <v/>
      </c>
      <c r="Q75" s="11" t="str">
        <f>IF(Data!B76=1,Data!K76,"No Tips")</f>
        <v>No Tips</v>
      </c>
      <c r="R75" s="2" t="str">
        <f>Data!L76</f>
        <v/>
      </c>
      <c r="S75" s="2" t="str">
        <f>Data!M76</f>
        <v/>
      </c>
      <c r="T75" s="1" t="str">
        <f>IF(I75="","",COUNTIF('Live Ladder'!P:P,I75)+COUNTIF('Live Ladder'!P:P,J75)+COUNTIF('Live Ladder'!P:P,K75)+COUNTIF('Live Ladder'!P:P,L75)+COUNTIF('Live Ladder'!P:P,M75)+COUNTIF('Live Ladder'!P:P,N75)+COUNTIF('Live Ladder'!P:P,O75)+COUNTIF('Live Ladder'!P:P,P75))</f>
        <v/>
      </c>
      <c r="U75" s="1" t="str">
        <f>IF(I75="","",IF(COUNTIF('Live Ladder'!P:P,Engine!Q75)=1,2,IF(COUNTIF('Live Ladder'!Q:Q,Engine!Q75)=1,-2,0)))</f>
        <v/>
      </c>
      <c r="V75" s="1" t="str">
        <f>IF(I75="","",IF(T75=Data!S$3,2,0))</f>
        <v/>
      </c>
      <c r="W75" s="1">
        <f t="shared" si="25"/>
        <v>-2</v>
      </c>
      <c r="X75" s="1">
        <f>IF(I75="",AE$2,IF(I75='Live Ladder'!B$4,'Live Ladder'!C$4,'Live Ladder'!D$4)+IF(J75='Live Ladder'!B$5,'Live Ladder'!C$5,'Live Ladder'!D$5)+IF(K75='Live Ladder'!B$6,'Live Ladder'!C$6,'Live Ladder'!D$6)+IF(L75='Live Ladder'!B$7,'Live Ladder'!C$7,'Live Ladder'!D$7)+IF(M75='Live Ladder'!B$8,'Live Ladder'!C$8,'Live Ladder'!D$8)+IF(N75='Live Ladder'!B$9,'Live Ladder'!C$9,'Live Ladder'!D$9)+IF(O75='Live Ladder'!B$10,'Live Ladder'!C$10,'Live Ladder'!D$10)+IF(P75='Live Ladder'!B$11,'Live Ladder'!C$11,'Live Ladder'!D$11))</f>
        <v>18</v>
      </c>
      <c r="Y75" t="str">
        <f t="shared" si="17"/>
        <v/>
      </c>
      <c r="Z75" t="str">
        <f t="shared" si="26"/>
        <v/>
      </c>
      <c r="AA75" s="111" t="str">
        <f t="shared" si="27"/>
        <v/>
      </c>
      <c r="AB75">
        <f t="shared" si="28"/>
        <v>0</v>
      </c>
      <c r="AC75" t="str">
        <f>IF(I75="","",IF(I75='Live Ladder'!B$4,'Live Ladder'!C$4,'Live Ladder'!D$4)+IF(J75='Live Ladder'!B$5,'Live Ladder'!C$5,'Live Ladder'!D$5)+IF(K75='Live Ladder'!B$6,'Live Ladder'!C$6,'Live Ladder'!D$6)+IF(L75='Live Ladder'!B$7,'Live Ladder'!C$7,'Live Ladder'!D$7)+IF(M75='Live Ladder'!B$8,'Live Ladder'!C$8,'Live Ladder'!D$8)+IF(N75='Live Ladder'!B$9,'Live Ladder'!C$9,'Live Ladder'!D$9)+IF(O75='Live Ladder'!B$10,'Live Ladder'!C$10,'Live Ladder'!D$10)+IF(P75='Live Ladder'!B$11,'Live Ladder'!C$11,'Live Ladder'!D$11))</f>
        <v/>
      </c>
      <c r="AF75" t="str">
        <f>IF(I75="","",IF(Q75="",0,IF(AND(Q75&gt;0,COUNTIF('Stats Calculator'!$T$24:$AA$24,Q75)=1),HLOOKUP(Q75,'Stats Calculator'!$T$24:$AA$27,4,FALSE),IF(AND(Q75&gt;0,COUNTIF('Stats Calculator'!$T$25:$AA$25,Q75)=1),HLOOKUP(Q75,'Stats Calculator'!$T$25:$AA$27,3,FALSE)))))</f>
        <v/>
      </c>
      <c r="AG75" t="str">
        <f>IF(I75="","",COUNTIF(I75,'Stats Calculator'!E$31)+COUNTIF(J75,'Stats Calculator'!E$32)+COUNTIF(K75,'Stats Calculator'!E$33)+COUNTIF(L75,'Stats Calculator'!E$34)+COUNTIF(M75,'Stats Calculator'!E$35)+COUNTIF(N75,'Stats Calculator'!E$36)+COUNTIF(O75,'Stats Calculator'!E$37)+COUNTIF(P75,'Stats Calculator'!E$38)-8+Data!S$3)</f>
        <v/>
      </c>
      <c r="AH75" t="str">
        <f>IF(I75="","",IF(Q75="",0,IF(Q75=0,0,IF(VLOOKUP(Engine!AF75,'Stats Calculator'!B$31:E$38,4,FALSE)="",0,IF(VLOOKUP(Engine!AF75,'Stats Calculator'!B$31:E$38,4,FALSE)=Q75,2,-2)))))</f>
        <v/>
      </c>
      <c r="AI75" t="str">
        <f>IF(I75="","",Data!S$3-COUNTA('Stats Calculator'!E$31:E$38))</f>
        <v/>
      </c>
      <c r="AJ75" t="str">
        <f>IF(I75="","",IF(AF75=0,0,IF(VLOOKUP(AF75,'Stats Calculator'!B$31:E$38,4,FALSE)&gt;0,0,2)))</f>
        <v/>
      </c>
      <c r="AK75" t="str">
        <f>IF(I75="","",IF(Data!S$3-Engine!AI75=AG75,2,0))</f>
        <v/>
      </c>
      <c r="AL75" t="str">
        <f t="shared" si="29"/>
        <v/>
      </c>
    </row>
    <row r="76" spans="1:38" x14ac:dyDescent="0.35">
      <c r="A76">
        <v>75</v>
      </c>
      <c r="B76" t="str">
        <f t="shared" si="20"/>
        <v/>
      </c>
      <c r="C76" s="111" t="str">
        <f t="shared" si="22"/>
        <v/>
      </c>
      <c r="D76" t="str">
        <f t="shared" si="21"/>
        <v/>
      </c>
      <c r="E76" s="3" t="str">
        <f t="shared" si="23"/>
        <v/>
      </c>
      <c r="F76" t="str">
        <f t="shared" si="24"/>
        <v/>
      </c>
      <c r="G76">
        <v>19</v>
      </c>
      <c r="H76" t="str">
        <f>Data!A77</f>
        <v>ZZZZZZ Suspend</v>
      </c>
      <c r="I76" s="2" t="str">
        <f>Data!C77</f>
        <v/>
      </c>
      <c r="J76" s="2" t="str">
        <f>Data!D77</f>
        <v/>
      </c>
      <c r="K76" s="2" t="str">
        <f>Data!E77</f>
        <v/>
      </c>
      <c r="L76" s="2" t="str">
        <f>IF(Data!$S$3&lt;Engine!L$1,0,Data!F77)</f>
        <v/>
      </c>
      <c r="M76" s="2" t="str">
        <f>IF(Data!$S$3&lt;Engine!M$1,0,Data!G77)</f>
        <v/>
      </c>
      <c r="N76" s="2" t="str">
        <f>IF(Data!$S$3&lt;Engine!N$1,0,Data!H77)</f>
        <v/>
      </c>
      <c r="O76" s="2" t="str">
        <f>IF(Data!$S$3&lt;Engine!O$1,0,Data!I77)</f>
        <v/>
      </c>
      <c r="P76" s="2" t="str">
        <f>IF(Data!$S$3&lt;Engine!P$1,0,Data!J77)</f>
        <v/>
      </c>
      <c r="Q76" s="11" t="str">
        <f>IF(Data!B77=1,Data!K77,"No Tips")</f>
        <v>No Tips</v>
      </c>
      <c r="R76" s="2" t="str">
        <f>Data!L77</f>
        <v/>
      </c>
      <c r="S76" s="2" t="str">
        <f>Data!M77</f>
        <v/>
      </c>
      <c r="T76" s="1" t="str">
        <f>IF(I76="","",COUNTIF('Live Ladder'!P:P,I76)+COUNTIF('Live Ladder'!P:P,J76)+COUNTIF('Live Ladder'!P:P,K76)+COUNTIF('Live Ladder'!P:P,L76)+COUNTIF('Live Ladder'!P:P,M76)+COUNTIF('Live Ladder'!P:P,N76)+COUNTIF('Live Ladder'!P:P,O76)+COUNTIF('Live Ladder'!P:P,P76))</f>
        <v/>
      </c>
      <c r="U76" s="1" t="str">
        <f>IF(I76="","",IF(COUNTIF('Live Ladder'!P:P,Engine!Q76)=1,2,IF(COUNTIF('Live Ladder'!Q:Q,Engine!Q76)=1,-2,0)))</f>
        <v/>
      </c>
      <c r="V76" s="1" t="str">
        <f>IF(I76="","",IF(T76=Data!S$3,2,0))</f>
        <v/>
      </c>
      <c r="W76" s="1">
        <f t="shared" si="25"/>
        <v>-2</v>
      </c>
      <c r="X76" s="1">
        <f>IF(I76="",AE$2,IF(I76='Live Ladder'!B$4,'Live Ladder'!C$4,'Live Ladder'!D$4)+IF(J76='Live Ladder'!B$5,'Live Ladder'!C$5,'Live Ladder'!D$5)+IF(K76='Live Ladder'!B$6,'Live Ladder'!C$6,'Live Ladder'!D$6)+IF(L76='Live Ladder'!B$7,'Live Ladder'!C$7,'Live Ladder'!D$7)+IF(M76='Live Ladder'!B$8,'Live Ladder'!C$8,'Live Ladder'!D$8)+IF(N76='Live Ladder'!B$9,'Live Ladder'!C$9,'Live Ladder'!D$9)+IF(O76='Live Ladder'!B$10,'Live Ladder'!C$10,'Live Ladder'!D$10)+IF(P76='Live Ladder'!B$11,'Live Ladder'!C$11,'Live Ladder'!D$11))</f>
        <v>18</v>
      </c>
      <c r="Y76" t="str">
        <f t="shared" si="17"/>
        <v/>
      </c>
      <c r="Z76" t="str">
        <f t="shared" si="26"/>
        <v/>
      </c>
      <c r="AA76" s="111" t="str">
        <f t="shared" si="27"/>
        <v/>
      </c>
      <c r="AB76">
        <f t="shared" si="28"/>
        <v>0</v>
      </c>
      <c r="AC76" t="str">
        <f>IF(I76="","",IF(I76='Live Ladder'!B$4,'Live Ladder'!C$4,'Live Ladder'!D$4)+IF(J76='Live Ladder'!B$5,'Live Ladder'!C$5,'Live Ladder'!D$5)+IF(K76='Live Ladder'!B$6,'Live Ladder'!C$6,'Live Ladder'!D$6)+IF(L76='Live Ladder'!B$7,'Live Ladder'!C$7,'Live Ladder'!D$7)+IF(M76='Live Ladder'!B$8,'Live Ladder'!C$8,'Live Ladder'!D$8)+IF(N76='Live Ladder'!B$9,'Live Ladder'!C$9,'Live Ladder'!D$9)+IF(O76='Live Ladder'!B$10,'Live Ladder'!C$10,'Live Ladder'!D$10)+IF(P76='Live Ladder'!B$11,'Live Ladder'!C$11,'Live Ladder'!D$11))</f>
        <v/>
      </c>
      <c r="AF76" t="str">
        <f>IF(I76="","",IF(Q76="",0,IF(AND(Q76&gt;0,COUNTIF('Stats Calculator'!$T$24:$AA$24,Q76)=1),HLOOKUP(Q76,'Stats Calculator'!$T$24:$AA$27,4,FALSE),IF(AND(Q76&gt;0,COUNTIF('Stats Calculator'!$T$25:$AA$25,Q76)=1),HLOOKUP(Q76,'Stats Calculator'!$T$25:$AA$27,3,FALSE)))))</f>
        <v/>
      </c>
      <c r="AG76" t="str">
        <f>IF(I76="","",COUNTIF(I76,'Stats Calculator'!E$31)+COUNTIF(J76,'Stats Calculator'!E$32)+COUNTIF(K76,'Stats Calculator'!E$33)+COUNTIF(L76,'Stats Calculator'!E$34)+COUNTIF(M76,'Stats Calculator'!E$35)+COUNTIF(N76,'Stats Calculator'!E$36)+COUNTIF(O76,'Stats Calculator'!E$37)+COUNTIF(P76,'Stats Calculator'!E$38)-8+Data!S$3)</f>
        <v/>
      </c>
      <c r="AH76" t="str">
        <f>IF(I76="","",IF(Q76="",0,IF(Q76=0,0,IF(VLOOKUP(Engine!AF76,'Stats Calculator'!B$31:E$38,4,FALSE)="",0,IF(VLOOKUP(Engine!AF76,'Stats Calculator'!B$31:E$38,4,FALSE)=Q76,2,-2)))))</f>
        <v/>
      </c>
      <c r="AI76" t="str">
        <f>IF(I76="","",Data!S$3-COUNTA('Stats Calculator'!E$31:E$38))</f>
        <v/>
      </c>
      <c r="AJ76" t="str">
        <f>IF(I76="","",IF(AF76=0,0,IF(VLOOKUP(AF76,'Stats Calculator'!B$31:E$38,4,FALSE)&gt;0,0,2)))</f>
        <v/>
      </c>
      <c r="AK76" t="str">
        <f>IF(I76="","",IF(Data!S$3-Engine!AI76=AG76,2,0))</f>
        <v/>
      </c>
      <c r="AL76" t="str">
        <f t="shared" si="29"/>
        <v/>
      </c>
    </row>
    <row r="77" spans="1:38" x14ac:dyDescent="0.35">
      <c r="A77">
        <v>76</v>
      </c>
      <c r="B77" t="str">
        <f t="shared" si="20"/>
        <v/>
      </c>
      <c r="C77" s="111" t="str">
        <f t="shared" si="22"/>
        <v/>
      </c>
      <c r="D77" t="str">
        <f t="shared" si="21"/>
        <v/>
      </c>
      <c r="E77" s="3" t="str">
        <f t="shared" si="23"/>
        <v/>
      </c>
      <c r="F77" t="str">
        <f t="shared" si="24"/>
        <v/>
      </c>
      <c r="G77">
        <v>18</v>
      </c>
      <c r="H77" t="str">
        <f>Data!A78</f>
        <v>ZZZZZZ Suspend</v>
      </c>
      <c r="I77" s="2" t="str">
        <f>Data!C78</f>
        <v/>
      </c>
      <c r="J77" s="2" t="str">
        <f>Data!D78</f>
        <v/>
      </c>
      <c r="K77" s="2" t="str">
        <f>Data!E78</f>
        <v/>
      </c>
      <c r="L77" s="2" t="str">
        <f>IF(Data!$S$3&lt;Engine!L$1,0,Data!F78)</f>
        <v/>
      </c>
      <c r="M77" s="2" t="str">
        <f>IF(Data!$S$3&lt;Engine!M$1,0,Data!G78)</f>
        <v/>
      </c>
      <c r="N77" s="2" t="str">
        <f>IF(Data!$S$3&lt;Engine!N$1,0,Data!H78)</f>
        <v/>
      </c>
      <c r="O77" s="2" t="str">
        <f>IF(Data!$S$3&lt;Engine!O$1,0,Data!I78)</f>
        <v/>
      </c>
      <c r="P77" s="2" t="str">
        <f>IF(Data!$S$3&lt;Engine!P$1,0,Data!J78)</f>
        <v/>
      </c>
      <c r="Q77" s="11" t="str">
        <f>IF(Data!B78=1,Data!K78,"No Tips")</f>
        <v>No Tips</v>
      </c>
      <c r="R77" s="2" t="str">
        <f>Data!L78</f>
        <v/>
      </c>
      <c r="S77" s="2" t="str">
        <f>Data!M78</f>
        <v/>
      </c>
      <c r="T77" s="1" t="str">
        <f>IF(I77="","",COUNTIF('Live Ladder'!P:P,I77)+COUNTIF('Live Ladder'!P:P,J77)+COUNTIF('Live Ladder'!P:P,K77)+COUNTIF('Live Ladder'!P:P,L77)+COUNTIF('Live Ladder'!P:P,M77)+COUNTIF('Live Ladder'!P:P,N77)+COUNTIF('Live Ladder'!P:P,O77)+COUNTIF('Live Ladder'!P:P,P77))</f>
        <v/>
      </c>
      <c r="U77" s="1" t="str">
        <f>IF(I77="","",IF(COUNTIF('Live Ladder'!P:P,Engine!Q77)=1,2,IF(COUNTIF('Live Ladder'!Q:Q,Engine!Q77)=1,-2,0)))</f>
        <v/>
      </c>
      <c r="V77" s="1" t="str">
        <f>IF(I77="","",IF(T77=Data!S$3,2,0))</f>
        <v/>
      </c>
      <c r="W77" s="1">
        <f t="shared" si="25"/>
        <v>-2</v>
      </c>
      <c r="X77" s="1">
        <f>IF(I77="",AE$2,IF(I77='Live Ladder'!B$4,'Live Ladder'!C$4,'Live Ladder'!D$4)+IF(J77='Live Ladder'!B$5,'Live Ladder'!C$5,'Live Ladder'!D$5)+IF(K77='Live Ladder'!B$6,'Live Ladder'!C$6,'Live Ladder'!D$6)+IF(L77='Live Ladder'!B$7,'Live Ladder'!C$7,'Live Ladder'!D$7)+IF(M77='Live Ladder'!B$8,'Live Ladder'!C$8,'Live Ladder'!D$8)+IF(N77='Live Ladder'!B$9,'Live Ladder'!C$9,'Live Ladder'!D$9)+IF(O77='Live Ladder'!B$10,'Live Ladder'!C$10,'Live Ladder'!D$10)+IF(P77='Live Ladder'!B$11,'Live Ladder'!C$11,'Live Ladder'!D$11))</f>
        <v>18</v>
      </c>
      <c r="Y77" t="str">
        <f t="shared" si="17"/>
        <v/>
      </c>
      <c r="Z77" t="str">
        <f t="shared" si="26"/>
        <v/>
      </c>
      <c r="AA77" s="111" t="str">
        <f t="shared" si="27"/>
        <v/>
      </c>
      <c r="AB77">
        <f t="shared" si="28"/>
        <v>0</v>
      </c>
      <c r="AC77" t="str">
        <f>IF(I77="","",IF(I77='Live Ladder'!B$4,'Live Ladder'!C$4,'Live Ladder'!D$4)+IF(J77='Live Ladder'!B$5,'Live Ladder'!C$5,'Live Ladder'!D$5)+IF(K77='Live Ladder'!B$6,'Live Ladder'!C$6,'Live Ladder'!D$6)+IF(L77='Live Ladder'!B$7,'Live Ladder'!C$7,'Live Ladder'!D$7)+IF(M77='Live Ladder'!B$8,'Live Ladder'!C$8,'Live Ladder'!D$8)+IF(N77='Live Ladder'!B$9,'Live Ladder'!C$9,'Live Ladder'!D$9)+IF(O77='Live Ladder'!B$10,'Live Ladder'!C$10,'Live Ladder'!D$10)+IF(P77='Live Ladder'!B$11,'Live Ladder'!C$11,'Live Ladder'!D$11))</f>
        <v/>
      </c>
      <c r="AF77" t="str">
        <f>IF(I77="","",IF(Q77="",0,IF(AND(Q77&gt;0,COUNTIF('Stats Calculator'!$T$24:$AA$24,Q77)=1),HLOOKUP(Q77,'Stats Calculator'!$T$24:$AA$27,4,FALSE),IF(AND(Q77&gt;0,COUNTIF('Stats Calculator'!$T$25:$AA$25,Q77)=1),HLOOKUP(Q77,'Stats Calculator'!$T$25:$AA$27,3,FALSE)))))</f>
        <v/>
      </c>
      <c r="AG77" t="str">
        <f>IF(I77="","",COUNTIF(I77,'Stats Calculator'!E$31)+COUNTIF(J77,'Stats Calculator'!E$32)+COUNTIF(K77,'Stats Calculator'!E$33)+COUNTIF(L77,'Stats Calculator'!E$34)+COUNTIF(M77,'Stats Calculator'!E$35)+COUNTIF(N77,'Stats Calculator'!E$36)+COUNTIF(O77,'Stats Calculator'!E$37)+COUNTIF(P77,'Stats Calculator'!E$38)-8+Data!S$3)</f>
        <v/>
      </c>
      <c r="AH77" t="str">
        <f>IF(I77="","",IF(Q77="",0,IF(Q77=0,0,IF(VLOOKUP(Engine!AF77,'Stats Calculator'!B$31:E$38,4,FALSE)="",0,IF(VLOOKUP(Engine!AF77,'Stats Calculator'!B$31:E$38,4,FALSE)=Q77,2,-2)))))</f>
        <v/>
      </c>
      <c r="AI77" t="str">
        <f>IF(I77="","",Data!S$3-COUNTA('Stats Calculator'!E$31:E$38))</f>
        <v/>
      </c>
      <c r="AJ77" t="str">
        <f>IF(I77="","",IF(AF77=0,0,IF(VLOOKUP(AF77,'Stats Calculator'!B$31:E$38,4,FALSE)&gt;0,0,2)))</f>
        <v/>
      </c>
      <c r="AK77" t="str">
        <f>IF(I77="","",IF(Data!S$3-Engine!AI77=AG77,2,0))</f>
        <v/>
      </c>
      <c r="AL77" t="str">
        <f t="shared" si="29"/>
        <v/>
      </c>
    </row>
    <row r="78" spans="1:38" x14ac:dyDescent="0.35">
      <c r="A78">
        <v>77</v>
      </c>
      <c r="B78" t="str">
        <f t="shared" si="20"/>
        <v/>
      </c>
      <c r="C78" s="111" t="str">
        <f t="shared" si="22"/>
        <v/>
      </c>
      <c r="D78" t="str">
        <f t="shared" si="21"/>
        <v/>
      </c>
      <c r="E78" s="3" t="str">
        <f t="shared" si="23"/>
        <v/>
      </c>
      <c r="F78" t="str">
        <f t="shared" si="24"/>
        <v/>
      </c>
      <c r="G78">
        <v>17</v>
      </c>
      <c r="H78" t="str">
        <f>Data!A79</f>
        <v>ZZZZZZ Suspend</v>
      </c>
      <c r="I78" s="2" t="str">
        <f>Data!C79</f>
        <v/>
      </c>
      <c r="J78" s="2" t="str">
        <f>Data!D79</f>
        <v/>
      </c>
      <c r="K78" s="2" t="str">
        <f>Data!E79</f>
        <v/>
      </c>
      <c r="L78" s="2" t="str">
        <f>IF(Data!$S$3&lt;Engine!L$1,0,Data!F79)</f>
        <v/>
      </c>
      <c r="M78" s="2" t="str">
        <f>IF(Data!$S$3&lt;Engine!M$1,0,Data!G79)</f>
        <v/>
      </c>
      <c r="N78" s="2" t="str">
        <f>IF(Data!$S$3&lt;Engine!N$1,0,Data!H79)</f>
        <v/>
      </c>
      <c r="O78" s="2" t="str">
        <f>IF(Data!$S$3&lt;Engine!O$1,0,Data!I79)</f>
        <v/>
      </c>
      <c r="P78" s="2" t="str">
        <f>IF(Data!$S$3&lt;Engine!P$1,0,Data!J79)</f>
        <v/>
      </c>
      <c r="Q78" s="11" t="str">
        <f>IF(Data!B79=1,Data!K79,"No Tips")</f>
        <v>No Tips</v>
      </c>
      <c r="R78" s="2" t="str">
        <f>Data!L79</f>
        <v/>
      </c>
      <c r="S78" s="2" t="str">
        <f>Data!M79</f>
        <v/>
      </c>
      <c r="T78" s="1" t="str">
        <f>IF(I78="","",COUNTIF('Live Ladder'!P:P,I78)+COUNTIF('Live Ladder'!P:P,J78)+COUNTIF('Live Ladder'!P:P,K78)+COUNTIF('Live Ladder'!P:P,L78)+COUNTIF('Live Ladder'!P:P,M78)+COUNTIF('Live Ladder'!P:P,N78)+COUNTIF('Live Ladder'!P:P,O78)+COUNTIF('Live Ladder'!P:P,P78))</f>
        <v/>
      </c>
      <c r="U78" s="1" t="str">
        <f>IF(I78="","",IF(COUNTIF('Live Ladder'!P:P,Engine!Q78)=1,2,IF(COUNTIF('Live Ladder'!Q:Q,Engine!Q78)=1,-2,0)))</f>
        <v/>
      </c>
      <c r="V78" s="1" t="str">
        <f>IF(I78="","",IF(T78=Data!S$3,2,0))</f>
        <v/>
      </c>
      <c r="W78" s="1">
        <f t="shared" si="25"/>
        <v>-2</v>
      </c>
      <c r="X78" s="1">
        <f>IF(I78="",AE$2,IF(I78='Live Ladder'!B$4,'Live Ladder'!C$4,'Live Ladder'!D$4)+IF(J78='Live Ladder'!B$5,'Live Ladder'!C$5,'Live Ladder'!D$5)+IF(K78='Live Ladder'!B$6,'Live Ladder'!C$6,'Live Ladder'!D$6)+IF(L78='Live Ladder'!B$7,'Live Ladder'!C$7,'Live Ladder'!D$7)+IF(M78='Live Ladder'!B$8,'Live Ladder'!C$8,'Live Ladder'!D$8)+IF(N78='Live Ladder'!B$9,'Live Ladder'!C$9,'Live Ladder'!D$9)+IF(O78='Live Ladder'!B$10,'Live Ladder'!C$10,'Live Ladder'!D$10)+IF(P78='Live Ladder'!B$11,'Live Ladder'!C$11,'Live Ladder'!D$11))</f>
        <v>18</v>
      </c>
      <c r="Y78" t="str">
        <f t="shared" si="17"/>
        <v/>
      </c>
      <c r="Z78" t="str">
        <f t="shared" si="26"/>
        <v/>
      </c>
      <c r="AA78" s="111" t="str">
        <f t="shared" si="27"/>
        <v/>
      </c>
      <c r="AB78">
        <f t="shared" si="28"/>
        <v>0</v>
      </c>
      <c r="AC78" t="str">
        <f>IF(I78="","",IF(I78='Live Ladder'!B$4,'Live Ladder'!C$4,'Live Ladder'!D$4)+IF(J78='Live Ladder'!B$5,'Live Ladder'!C$5,'Live Ladder'!D$5)+IF(K78='Live Ladder'!B$6,'Live Ladder'!C$6,'Live Ladder'!D$6)+IF(L78='Live Ladder'!B$7,'Live Ladder'!C$7,'Live Ladder'!D$7)+IF(M78='Live Ladder'!B$8,'Live Ladder'!C$8,'Live Ladder'!D$8)+IF(N78='Live Ladder'!B$9,'Live Ladder'!C$9,'Live Ladder'!D$9)+IF(O78='Live Ladder'!B$10,'Live Ladder'!C$10,'Live Ladder'!D$10)+IF(P78='Live Ladder'!B$11,'Live Ladder'!C$11,'Live Ladder'!D$11))</f>
        <v/>
      </c>
      <c r="AF78" t="str">
        <f>IF(I78="","",IF(Q78="",0,IF(AND(Q78&gt;0,COUNTIF('Stats Calculator'!$T$24:$AA$24,Q78)=1),HLOOKUP(Q78,'Stats Calculator'!$T$24:$AA$27,4,FALSE),IF(AND(Q78&gt;0,COUNTIF('Stats Calculator'!$T$25:$AA$25,Q78)=1),HLOOKUP(Q78,'Stats Calculator'!$T$25:$AA$27,3,FALSE)))))</f>
        <v/>
      </c>
      <c r="AG78" t="str">
        <f>IF(I78="","",COUNTIF(I78,'Stats Calculator'!E$31)+COUNTIF(J78,'Stats Calculator'!E$32)+COUNTIF(K78,'Stats Calculator'!E$33)+COUNTIF(L78,'Stats Calculator'!E$34)+COUNTIF(M78,'Stats Calculator'!E$35)+COUNTIF(N78,'Stats Calculator'!E$36)+COUNTIF(O78,'Stats Calculator'!E$37)+COUNTIF(P78,'Stats Calculator'!E$38)-8+Data!S$3)</f>
        <v/>
      </c>
      <c r="AH78" t="str">
        <f>IF(I78="","",IF(Q78="",0,IF(Q78=0,0,IF(VLOOKUP(Engine!AF78,'Stats Calculator'!B$31:E$38,4,FALSE)="",0,IF(VLOOKUP(Engine!AF78,'Stats Calculator'!B$31:E$38,4,FALSE)=Q78,2,-2)))))</f>
        <v/>
      </c>
      <c r="AI78" t="str">
        <f>IF(I78="","",Data!S$3-COUNTA('Stats Calculator'!E$31:E$38))</f>
        <v/>
      </c>
      <c r="AJ78" t="str">
        <f>IF(I78="","",IF(AF78=0,0,IF(VLOOKUP(AF78,'Stats Calculator'!B$31:E$38,4,FALSE)&gt;0,0,2)))</f>
        <v/>
      </c>
      <c r="AK78" t="str">
        <f>IF(I78="","",IF(Data!S$3-Engine!AI78=AG78,2,0))</f>
        <v/>
      </c>
      <c r="AL78" t="str">
        <f t="shared" si="29"/>
        <v/>
      </c>
    </row>
    <row r="79" spans="1:38" x14ac:dyDescent="0.35">
      <c r="A79">
        <v>78</v>
      </c>
      <c r="B79" t="str">
        <f t="shared" si="20"/>
        <v/>
      </c>
      <c r="C79" s="111" t="str">
        <f t="shared" si="22"/>
        <v/>
      </c>
      <c r="D79" t="str">
        <f t="shared" si="21"/>
        <v/>
      </c>
      <c r="E79" s="3" t="str">
        <f t="shared" si="23"/>
        <v/>
      </c>
      <c r="F79" t="str">
        <f t="shared" si="24"/>
        <v/>
      </c>
      <c r="G79">
        <v>12</v>
      </c>
      <c r="H79" t="str">
        <f>Data!A84</f>
        <v>ZZZZZZ Suspend</v>
      </c>
      <c r="I79" s="2" t="str">
        <f>Data!C84</f>
        <v/>
      </c>
      <c r="J79" s="2" t="str">
        <f>Data!D84</f>
        <v/>
      </c>
      <c r="K79" s="2" t="str">
        <f>Data!E84</f>
        <v/>
      </c>
      <c r="L79" s="2" t="str">
        <f>IF(Data!$S$3&lt;Engine!L$1,0,Data!F84)</f>
        <v/>
      </c>
      <c r="M79" s="2" t="str">
        <f>IF(Data!$S$3&lt;Engine!M$1,0,Data!G84)</f>
        <v/>
      </c>
      <c r="N79" s="2" t="str">
        <f>IF(Data!$S$3&lt;Engine!N$1,0,Data!H84)</f>
        <v/>
      </c>
      <c r="O79" s="2" t="str">
        <f>IF(Data!$S$3&lt;Engine!O$1,0,Data!I84)</f>
        <v/>
      </c>
      <c r="P79" s="2" t="str">
        <f>IF(Data!$S$3&lt;Engine!P$1,0,Data!J84)</f>
        <v/>
      </c>
      <c r="Q79" s="11" t="str">
        <f>IF(Data!B84=1,Data!K84,"No Tips")</f>
        <v>No Tips</v>
      </c>
      <c r="R79" s="2" t="str">
        <f>Data!L84</f>
        <v/>
      </c>
      <c r="S79" s="2" t="str">
        <f>Data!M84</f>
        <v/>
      </c>
      <c r="T79" s="1" t="str">
        <f>IF(I79="","",COUNTIF('Live Ladder'!P:P,I79)+COUNTIF('Live Ladder'!P:P,J79)+COUNTIF('Live Ladder'!P:P,K79)+COUNTIF('Live Ladder'!P:P,L79)+COUNTIF('Live Ladder'!P:P,M79)+COUNTIF('Live Ladder'!P:P,N79)+COUNTIF('Live Ladder'!P:P,O79)+COUNTIF('Live Ladder'!P:P,P79))</f>
        <v/>
      </c>
      <c r="U79" s="1" t="str">
        <f>IF(I79="","",IF(COUNTIF('Live Ladder'!P:P,Engine!Q79)=1,2,IF(COUNTIF('Live Ladder'!Q:Q,Engine!Q79)=1,-2,0)))</f>
        <v/>
      </c>
      <c r="V79" s="1" t="str">
        <f>IF(I79="","",IF(T79=Data!S$3,2,0))</f>
        <v/>
      </c>
      <c r="W79" s="1">
        <f t="shared" si="25"/>
        <v>-2</v>
      </c>
      <c r="X79" s="1">
        <f>IF(I79="",AE$2,IF(I79='Live Ladder'!B$4,'Live Ladder'!C$4,'Live Ladder'!D$4)+IF(J79='Live Ladder'!B$5,'Live Ladder'!C$5,'Live Ladder'!D$5)+IF(K79='Live Ladder'!B$6,'Live Ladder'!C$6,'Live Ladder'!D$6)+IF(L79='Live Ladder'!B$7,'Live Ladder'!C$7,'Live Ladder'!D$7)+IF(M79='Live Ladder'!B$8,'Live Ladder'!C$8,'Live Ladder'!D$8)+IF(N79='Live Ladder'!B$9,'Live Ladder'!C$9,'Live Ladder'!D$9)+IF(O79='Live Ladder'!B$10,'Live Ladder'!C$10,'Live Ladder'!D$10)+IF(P79='Live Ladder'!B$11,'Live Ladder'!C$11,'Live Ladder'!D$11))</f>
        <v>18</v>
      </c>
      <c r="Y79" t="str">
        <f t="shared" si="17"/>
        <v/>
      </c>
      <c r="Z79" t="str">
        <f t="shared" si="26"/>
        <v/>
      </c>
      <c r="AA79" s="111" t="str">
        <f t="shared" si="27"/>
        <v/>
      </c>
      <c r="AB79">
        <f t="shared" si="28"/>
        <v>0</v>
      </c>
      <c r="AC79" t="str">
        <f>IF(I79="","",IF(I79='Live Ladder'!B$4,'Live Ladder'!C$4,'Live Ladder'!D$4)+IF(J79='Live Ladder'!B$5,'Live Ladder'!C$5,'Live Ladder'!D$5)+IF(K79='Live Ladder'!B$6,'Live Ladder'!C$6,'Live Ladder'!D$6)+IF(L79='Live Ladder'!B$7,'Live Ladder'!C$7,'Live Ladder'!D$7)+IF(M79='Live Ladder'!B$8,'Live Ladder'!C$8,'Live Ladder'!D$8)+IF(N79='Live Ladder'!B$9,'Live Ladder'!C$9,'Live Ladder'!D$9)+IF(O79='Live Ladder'!B$10,'Live Ladder'!C$10,'Live Ladder'!D$10)+IF(P79='Live Ladder'!B$11,'Live Ladder'!C$11,'Live Ladder'!D$11))</f>
        <v/>
      </c>
      <c r="AF79" t="str">
        <f>IF(I79="","",IF(Q79="",0,IF(AND(Q79&gt;0,COUNTIF('Stats Calculator'!$T$24:$AA$24,Q79)=1),HLOOKUP(Q79,'Stats Calculator'!$T$24:$AA$27,4,FALSE),IF(AND(Q79&gt;0,COUNTIF('Stats Calculator'!$T$25:$AA$25,Q79)=1),HLOOKUP(Q79,'Stats Calculator'!$T$25:$AA$27,3,FALSE)))))</f>
        <v/>
      </c>
      <c r="AG79" t="str">
        <f>IF(I79="","",COUNTIF(I79,'Stats Calculator'!E$31)+COUNTIF(J79,'Stats Calculator'!E$32)+COUNTIF(K79,'Stats Calculator'!E$33)+COUNTIF(L79,'Stats Calculator'!E$34)+COUNTIF(M79,'Stats Calculator'!E$35)+COUNTIF(N79,'Stats Calculator'!E$36)+COUNTIF(O79,'Stats Calculator'!E$37)+COUNTIF(P79,'Stats Calculator'!E$38)-8+Data!S$3)</f>
        <v/>
      </c>
      <c r="AH79" t="str">
        <f>IF(I79="","",IF(Q79="",0,IF(Q79=0,0,IF(VLOOKUP(Engine!AF79,'Stats Calculator'!B$31:E$38,4,FALSE)="",0,IF(VLOOKUP(Engine!AF79,'Stats Calculator'!B$31:E$38,4,FALSE)=Q79,2,-2)))))</f>
        <v/>
      </c>
      <c r="AI79" t="str">
        <f>IF(I79="","",Data!S$3-COUNTA('Stats Calculator'!E$31:E$38))</f>
        <v/>
      </c>
      <c r="AJ79" t="str">
        <f>IF(I79="","",IF(AF79=0,0,IF(VLOOKUP(AF79,'Stats Calculator'!B$31:E$38,4,FALSE)&gt;0,0,2)))</f>
        <v/>
      </c>
      <c r="AK79" t="str">
        <f>IF(I79="","",IF(Data!S$3-Engine!AI79=AG79,2,0))</f>
        <v/>
      </c>
      <c r="AL79" t="str">
        <f t="shared" si="29"/>
        <v/>
      </c>
    </row>
    <row r="80" spans="1:38" x14ac:dyDescent="0.35">
      <c r="A80">
        <v>79</v>
      </c>
      <c r="B80" t="str">
        <f t="shared" si="20"/>
        <v/>
      </c>
      <c r="C80" s="111" t="str">
        <f t="shared" si="22"/>
        <v/>
      </c>
      <c r="D80" t="str">
        <f t="shared" si="21"/>
        <v/>
      </c>
      <c r="E80" s="3" t="str">
        <f t="shared" si="23"/>
        <v/>
      </c>
      <c r="F80" t="str">
        <f t="shared" si="24"/>
        <v/>
      </c>
      <c r="G80">
        <v>15</v>
      </c>
      <c r="H80" t="str">
        <f>Data!A81</f>
        <v>ZZZZZZ Suspend</v>
      </c>
      <c r="I80" s="2" t="str">
        <f>Data!C81</f>
        <v/>
      </c>
      <c r="J80" s="2" t="str">
        <f>Data!D81</f>
        <v/>
      </c>
      <c r="K80" s="2" t="str">
        <f>Data!E81</f>
        <v/>
      </c>
      <c r="L80" s="2" t="str">
        <f>IF(Data!$S$3&lt;Engine!L$1,0,Data!F81)</f>
        <v/>
      </c>
      <c r="M80" s="2" t="str">
        <f>IF(Data!$S$3&lt;Engine!M$1,0,Data!G81)</f>
        <v/>
      </c>
      <c r="N80" s="2" t="str">
        <f>IF(Data!$S$3&lt;Engine!N$1,0,Data!H81)</f>
        <v/>
      </c>
      <c r="O80" s="2" t="str">
        <f>IF(Data!$S$3&lt;Engine!O$1,0,Data!I81)</f>
        <v/>
      </c>
      <c r="P80" s="2" t="str">
        <f>IF(Data!$S$3&lt;Engine!P$1,0,Data!J81)</f>
        <v/>
      </c>
      <c r="Q80" s="11" t="str">
        <f>IF(Data!B81=1,Data!K81,"No Tips")</f>
        <v>No Tips</v>
      </c>
      <c r="R80" s="2" t="str">
        <f>Data!L81</f>
        <v/>
      </c>
      <c r="S80" s="2" t="str">
        <f>Data!M81</f>
        <v/>
      </c>
      <c r="T80" s="1" t="str">
        <f>IF(I80="","",COUNTIF('Live Ladder'!P:P,I80)+COUNTIF('Live Ladder'!P:P,J80)+COUNTIF('Live Ladder'!P:P,K80)+COUNTIF('Live Ladder'!P:P,L80)+COUNTIF('Live Ladder'!P:P,M80)+COUNTIF('Live Ladder'!P:P,N80)+COUNTIF('Live Ladder'!P:P,O80)+COUNTIF('Live Ladder'!P:P,P80))</f>
        <v/>
      </c>
      <c r="U80" s="1" t="str">
        <f>IF(I80="","",IF(COUNTIF('Live Ladder'!P:P,Engine!Q80)=1,2,IF(COUNTIF('Live Ladder'!Q:Q,Engine!Q80)=1,-2,0)))</f>
        <v/>
      </c>
      <c r="V80" s="1" t="str">
        <f>IF(I80="","",IF(T80=Data!S$3,2,0))</f>
        <v/>
      </c>
      <c r="W80" s="1">
        <f t="shared" si="25"/>
        <v>-2</v>
      </c>
      <c r="X80" s="1">
        <f>IF(I80="",AE$2,IF(I80='Live Ladder'!B$4,'Live Ladder'!C$4,'Live Ladder'!D$4)+IF(J80='Live Ladder'!B$5,'Live Ladder'!C$5,'Live Ladder'!D$5)+IF(K80='Live Ladder'!B$6,'Live Ladder'!C$6,'Live Ladder'!D$6)+IF(L80='Live Ladder'!B$7,'Live Ladder'!C$7,'Live Ladder'!D$7)+IF(M80='Live Ladder'!B$8,'Live Ladder'!C$8,'Live Ladder'!D$8)+IF(N80='Live Ladder'!B$9,'Live Ladder'!C$9,'Live Ladder'!D$9)+IF(O80='Live Ladder'!B$10,'Live Ladder'!C$10,'Live Ladder'!D$10)+IF(P80='Live Ladder'!B$11,'Live Ladder'!C$11,'Live Ladder'!D$11))</f>
        <v>18</v>
      </c>
      <c r="Y80" t="str">
        <f t="shared" si="17"/>
        <v/>
      </c>
      <c r="Z80" t="str">
        <f t="shared" si="26"/>
        <v/>
      </c>
      <c r="AA80" s="111" t="str">
        <f t="shared" si="27"/>
        <v/>
      </c>
      <c r="AB80">
        <f t="shared" si="28"/>
        <v>0</v>
      </c>
      <c r="AC80" t="str">
        <f>IF(I80="","",IF(I80='Live Ladder'!B$4,'Live Ladder'!C$4,'Live Ladder'!D$4)+IF(J80='Live Ladder'!B$5,'Live Ladder'!C$5,'Live Ladder'!D$5)+IF(K80='Live Ladder'!B$6,'Live Ladder'!C$6,'Live Ladder'!D$6)+IF(L80='Live Ladder'!B$7,'Live Ladder'!C$7,'Live Ladder'!D$7)+IF(M80='Live Ladder'!B$8,'Live Ladder'!C$8,'Live Ladder'!D$8)+IF(N80='Live Ladder'!B$9,'Live Ladder'!C$9,'Live Ladder'!D$9)+IF(O80='Live Ladder'!B$10,'Live Ladder'!C$10,'Live Ladder'!D$10)+IF(P80='Live Ladder'!B$11,'Live Ladder'!C$11,'Live Ladder'!D$11))</f>
        <v/>
      </c>
      <c r="AD80" s="10"/>
      <c r="AE80" s="10"/>
      <c r="AF80" t="str">
        <f>IF(I80="","",IF(Q80="",0,IF(AND(Q80&gt;0,COUNTIF('Stats Calculator'!$T$24:$AA$24,Q80)=1),HLOOKUP(Q80,'Stats Calculator'!$T$24:$AA$27,4,FALSE),IF(AND(Q80&gt;0,COUNTIF('Stats Calculator'!$T$25:$AA$25,Q80)=1),HLOOKUP(Q80,'Stats Calculator'!$T$25:$AA$27,3,FALSE)))))</f>
        <v/>
      </c>
      <c r="AG80" t="str">
        <f>IF(I80="","",COUNTIF(I80,'Stats Calculator'!E$31)+COUNTIF(J80,'Stats Calculator'!E$32)+COUNTIF(K80,'Stats Calculator'!E$33)+COUNTIF(L80,'Stats Calculator'!E$34)+COUNTIF(M80,'Stats Calculator'!E$35)+COUNTIF(N80,'Stats Calculator'!E$36)+COUNTIF(O80,'Stats Calculator'!E$37)+COUNTIF(P80,'Stats Calculator'!E$38)-8+Data!S$3)</f>
        <v/>
      </c>
      <c r="AH80" t="str">
        <f>IF(I80="","",IF(Q80="",0,IF(Q80=0,0,IF(VLOOKUP(Engine!AF80,'Stats Calculator'!B$31:E$38,4,FALSE)="",0,IF(VLOOKUP(Engine!AF80,'Stats Calculator'!B$31:E$38,4,FALSE)=Q80,2,-2)))))</f>
        <v/>
      </c>
      <c r="AI80" t="str">
        <f>IF(I80="","",Data!S$3-COUNTA('Stats Calculator'!E$31:E$38))</f>
        <v/>
      </c>
      <c r="AJ80" t="str">
        <f>IF(I80="","",IF(AF80=0,0,IF(VLOOKUP(AF80,'Stats Calculator'!B$31:E$38,4,FALSE)&gt;0,0,2)))</f>
        <v/>
      </c>
      <c r="AK80" t="str">
        <f>IF(I80="","",IF(Data!S$3-Engine!AI80=AG80,2,0))</f>
        <v/>
      </c>
      <c r="AL80" t="str">
        <f t="shared" si="29"/>
        <v/>
      </c>
    </row>
    <row r="81" spans="1:38" x14ac:dyDescent="0.35">
      <c r="A81">
        <v>80</v>
      </c>
      <c r="B81" t="str">
        <f t="shared" si="20"/>
        <v/>
      </c>
      <c r="C81" s="111" t="str">
        <f t="shared" si="22"/>
        <v/>
      </c>
      <c r="D81" t="str">
        <f t="shared" si="21"/>
        <v/>
      </c>
      <c r="E81" s="3" t="str">
        <f t="shared" si="23"/>
        <v/>
      </c>
      <c r="F81" t="str">
        <f t="shared" si="24"/>
        <v/>
      </c>
      <c r="G81">
        <v>11</v>
      </c>
      <c r="H81" t="str">
        <f>Data!A85</f>
        <v>ZZZZZZ Suspend</v>
      </c>
      <c r="I81" s="2" t="str">
        <f>Data!C85</f>
        <v/>
      </c>
      <c r="J81" s="2" t="str">
        <f>Data!D85</f>
        <v/>
      </c>
      <c r="K81" s="2" t="str">
        <f>Data!E85</f>
        <v/>
      </c>
      <c r="L81" s="2" t="str">
        <f>IF(Data!$S$3&lt;Engine!L$1,0,Data!F85)</f>
        <v/>
      </c>
      <c r="M81" s="2" t="str">
        <f>IF(Data!$S$3&lt;Engine!M$1,0,Data!G85)</f>
        <v/>
      </c>
      <c r="N81" s="2" t="str">
        <f>IF(Data!$S$3&lt;Engine!N$1,0,Data!H85)</f>
        <v/>
      </c>
      <c r="O81" s="2" t="str">
        <f>IF(Data!$S$3&lt;Engine!O$1,0,Data!I85)</f>
        <v/>
      </c>
      <c r="P81" s="2" t="str">
        <f>IF(Data!$S$3&lt;Engine!P$1,0,Data!J85)</f>
        <v/>
      </c>
      <c r="Q81" s="11" t="str">
        <f>IF(Data!B85=1,Data!K85,"No Tips")</f>
        <v>No Tips</v>
      </c>
      <c r="R81" s="2" t="str">
        <f>Data!L85</f>
        <v/>
      </c>
      <c r="S81" s="2" t="str">
        <f>Data!M85</f>
        <v/>
      </c>
      <c r="T81" s="1" t="str">
        <f>IF(I81="","",COUNTIF('Live Ladder'!P:P,I81)+COUNTIF('Live Ladder'!P:P,J81)+COUNTIF('Live Ladder'!P:P,K81)+COUNTIF('Live Ladder'!P:P,L81)+COUNTIF('Live Ladder'!P:P,M81)+COUNTIF('Live Ladder'!P:P,N81)+COUNTIF('Live Ladder'!P:P,O81)+COUNTIF('Live Ladder'!P:P,P81))</f>
        <v/>
      </c>
      <c r="U81" s="1" t="str">
        <f>IF(I81="","",IF(COUNTIF('Live Ladder'!P:P,Engine!Q81)=1,2,IF(COUNTIF('Live Ladder'!Q:Q,Engine!Q81)=1,-2,0)))</f>
        <v/>
      </c>
      <c r="V81" s="1" t="str">
        <f>IF(I81="","",IF(T81=Data!S$3,2,0))</f>
        <v/>
      </c>
      <c r="W81" s="1">
        <f t="shared" si="25"/>
        <v>-2</v>
      </c>
      <c r="X81" s="1">
        <f>IF(I81="",AE$2,IF(I81='Live Ladder'!B$4,'Live Ladder'!C$4,'Live Ladder'!D$4)+IF(J81='Live Ladder'!B$5,'Live Ladder'!C$5,'Live Ladder'!D$5)+IF(K81='Live Ladder'!B$6,'Live Ladder'!C$6,'Live Ladder'!D$6)+IF(L81='Live Ladder'!B$7,'Live Ladder'!C$7,'Live Ladder'!D$7)+IF(M81='Live Ladder'!B$8,'Live Ladder'!C$8,'Live Ladder'!D$8)+IF(N81='Live Ladder'!B$9,'Live Ladder'!C$9,'Live Ladder'!D$9)+IF(O81='Live Ladder'!B$10,'Live Ladder'!C$10,'Live Ladder'!D$10)+IF(P81='Live Ladder'!B$11,'Live Ladder'!C$11,'Live Ladder'!D$11))</f>
        <v>18</v>
      </c>
      <c r="Y81" t="str">
        <f t="shared" ref="Y81:Y85" si="30">IF(H81="ZZZZZZ Suspend","",R81+W81)</f>
        <v/>
      </c>
      <c r="Z81" t="str">
        <f t="shared" si="26"/>
        <v/>
      </c>
      <c r="AA81" s="111" t="str">
        <f t="shared" si="27"/>
        <v/>
      </c>
      <c r="AB81">
        <f t="shared" si="28"/>
        <v>0</v>
      </c>
      <c r="AC81" t="str">
        <f>IF(I81="","",IF(I81='Live Ladder'!B$4,'Live Ladder'!C$4,'Live Ladder'!D$4)+IF(J81='Live Ladder'!B$5,'Live Ladder'!C$5,'Live Ladder'!D$5)+IF(K81='Live Ladder'!B$6,'Live Ladder'!C$6,'Live Ladder'!D$6)+IF(L81='Live Ladder'!B$7,'Live Ladder'!C$7,'Live Ladder'!D$7)+IF(M81='Live Ladder'!B$8,'Live Ladder'!C$8,'Live Ladder'!D$8)+IF(N81='Live Ladder'!B$9,'Live Ladder'!C$9,'Live Ladder'!D$9)+IF(O81='Live Ladder'!B$10,'Live Ladder'!C$10,'Live Ladder'!D$10)+IF(P81='Live Ladder'!B$11,'Live Ladder'!C$11,'Live Ladder'!D$11))</f>
        <v/>
      </c>
      <c r="AF81" t="str">
        <f>IF(I81="","",IF(Q81="",0,IF(AND(Q81&gt;0,COUNTIF('Stats Calculator'!$T$24:$AA$24,Q81)=1),HLOOKUP(Q81,'Stats Calculator'!$T$24:$AA$27,4,FALSE),IF(AND(Q81&gt;0,COUNTIF('Stats Calculator'!$T$25:$AA$25,Q81)=1),HLOOKUP(Q81,'Stats Calculator'!$T$25:$AA$27,3,FALSE)))))</f>
        <v/>
      </c>
      <c r="AG81" t="str">
        <f>IF(I81="","",COUNTIF(I81,'Stats Calculator'!E$31)+COUNTIF(J81,'Stats Calculator'!E$32)+COUNTIF(K81,'Stats Calculator'!E$33)+COUNTIF(L81,'Stats Calculator'!E$34)+COUNTIF(M81,'Stats Calculator'!E$35)+COUNTIF(N81,'Stats Calculator'!E$36)+COUNTIF(O81,'Stats Calculator'!E$37)+COUNTIF(P81,'Stats Calculator'!E$38)-8+Data!S$3)</f>
        <v/>
      </c>
      <c r="AH81" t="str">
        <f>IF(I81="","",IF(Q81="",0,IF(Q81=0,0,IF(VLOOKUP(Engine!AF81,'Stats Calculator'!B$31:E$38,4,FALSE)="",0,IF(VLOOKUP(Engine!AF81,'Stats Calculator'!B$31:E$38,4,FALSE)=Q81,2,-2)))))</f>
        <v/>
      </c>
      <c r="AI81" t="str">
        <f>IF(I81="","",Data!S$3-COUNTA('Stats Calculator'!E$31:E$38))</f>
        <v/>
      </c>
      <c r="AJ81" t="str">
        <f>IF(I81="","",IF(AF81=0,0,IF(VLOOKUP(AF81,'Stats Calculator'!B$31:E$38,4,FALSE)&gt;0,0,2)))</f>
        <v/>
      </c>
      <c r="AK81" t="str">
        <f>IF(I81="","",IF(Data!S$3-Engine!AI81=AG81,2,0))</f>
        <v/>
      </c>
      <c r="AL81" t="str">
        <f t="shared" si="29"/>
        <v/>
      </c>
    </row>
    <row r="82" spans="1:38" x14ac:dyDescent="0.35">
      <c r="A82">
        <v>81</v>
      </c>
      <c r="B82" t="str">
        <f t="shared" si="20"/>
        <v/>
      </c>
      <c r="C82" s="111" t="str">
        <f t="shared" si="22"/>
        <v/>
      </c>
      <c r="D82" t="str">
        <f t="shared" si="21"/>
        <v/>
      </c>
      <c r="E82" s="3" t="str">
        <f t="shared" si="23"/>
        <v/>
      </c>
      <c r="F82" t="str">
        <f t="shared" si="24"/>
        <v/>
      </c>
      <c r="G82">
        <v>14</v>
      </c>
      <c r="H82" t="str">
        <f>Data!A82</f>
        <v>ZZZZZZ Suspend</v>
      </c>
      <c r="I82" s="2" t="str">
        <f>Data!C82</f>
        <v/>
      </c>
      <c r="J82" s="2" t="str">
        <f>Data!D82</f>
        <v/>
      </c>
      <c r="K82" s="2" t="str">
        <f>Data!E82</f>
        <v/>
      </c>
      <c r="L82" s="2" t="str">
        <f>IF(Data!$S$3&lt;Engine!L$1,0,Data!F82)</f>
        <v/>
      </c>
      <c r="M82" s="2" t="str">
        <f>IF(Data!$S$3&lt;Engine!M$1,0,Data!G82)</f>
        <v/>
      </c>
      <c r="N82" s="2" t="str">
        <f>IF(Data!$S$3&lt;Engine!N$1,0,Data!H82)</f>
        <v/>
      </c>
      <c r="O82" s="2" t="str">
        <f>IF(Data!$S$3&lt;Engine!O$1,0,Data!I82)</f>
        <v/>
      </c>
      <c r="P82" s="2" t="str">
        <f>IF(Data!$S$3&lt;Engine!P$1,0,Data!J82)</f>
        <v/>
      </c>
      <c r="Q82" s="11" t="str">
        <f>IF(Data!B82=1,Data!K82,"No Tips")</f>
        <v>No Tips</v>
      </c>
      <c r="R82" s="2" t="str">
        <f>Data!L82</f>
        <v/>
      </c>
      <c r="S82" s="2" t="str">
        <f>Data!M82</f>
        <v/>
      </c>
      <c r="T82" s="1" t="str">
        <f>IF(I82="","",COUNTIF('Live Ladder'!P:P,I82)+COUNTIF('Live Ladder'!P:P,J82)+COUNTIF('Live Ladder'!P:P,K82)+COUNTIF('Live Ladder'!P:P,L82)+COUNTIF('Live Ladder'!P:P,M82)+COUNTIF('Live Ladder'!P:P,N82)+COUNTIF('Live Ladder'!P:P,O82)+COUNTIF('Live Ladder'!P:P,P82))</f>
        <v/>
      </c>
      <c r="U82" s="1" t="str">
        <f>IF(I82="","",IF(COUNTIF('Live Ladder'!P:P,Engine!Q82)=1,2,IF(COUNTIF('Live Ladder'!Q:Q,Engine!Q82)=1,-2,0)))</f>
        <v/>
      </c>
      <c r="V82" s="1" t="str">
        <f>IF(I82="","",IF(T82=Data!S$3,2,0))</f>
        <v/>
      </c>
      <c r="W82" s="1">
        <f t="shared" si="25"/>
        <v>-2</v>
      </c>
      <c r="X82" s="1">
        <f>IF(I82="",AE$2,IF(I82='Live Ladder'!B$4,'Live Ladder'!C$4,'Live Ladder'!D$4)+IF(J82='Live Ladder'!B$5,'Live Ladder'!C$5,'Live Ladder'!D$5)+IF(K82='Live Ladder'!B$6,'Live Ladder'!C$6,'Live Ladder'!D$6)+IF(L82='Live Ladder'!B$7,'Live Ladder'!C$7,'Live Ladder'!D$7)+IF(M82='Live Ladder'!B$8,'Live Ladder'!C$8,'Live Ladder'!D$8)+IF(N82='Live Ladder'!B$9,'Live Ladder'!C$9,'Live Ladder'!D$9)+IF(O82='Live Ladder'!B$10,'Live Ladder'!C$10,'Live Ladder'!D$10)+IF(P82='Live Ladder'!B$11,'Live Ladder'!C$11,'Live Ladder'!D$11))</f>
        <v>18</v>
      </c>
      <c r="Y82" t="str">
        <f t="shared" si="30"/>
        <v/>
      </c>
      <c r="Z82" t="str">
        <f t="shared" si="26"/>
        <v/>
      </c>
      <c r="AA82" s="111" t="str">
        <f t="shared" si="27"/>
        <v/>
      </c>
      <c r="AB82">
        <f t="shared" si="28"/>
        <v>0</v>
      </c>
      <c r="AC82" t="str">
        <f>IF(I82="","",IF(I82='Live Ladder'!B$4,'Live Ladder'!C$4,'Live Ladder'!D$4)+IF(J82='Live Ladder'!B$5,'Live Ladder'!C$5,'Live Ladder'!D$5)+IF(K82='Live Ladder'!B$6,'Live Ladder'!C$6,'Live Ladder'!D$6)+IF(L82='Live Ladder'!B$7,'Live Ladder'!C$7,'Live Ladder'!D$7)+IF(M82='Live Ladder'!B$8,'Live Ladder'!C$8,'Live Ladder'!D$8)+IF(N82='Live Ladder'!B$9,'Live Ladder'!C$9,'Live Ladder'!D$9)+IF(O82='Live Ladder'!B$10,'Live Ladder'!C$10,'Live Ladder'!D$10)+IF(P82='Live Ladder'!B$11,'Live Ladder'!C$11,'Live Ladder'!D$11))</f>
        <v/>
      </c>
      <c r="AF82" t="str">
        <f>IF(I82="","",IF(Q82="",0,IF(AND(Q82&gt;0,COUNTIF('Stats Calculator'!$T$24:$AA$24,Q82)=1),HLOOKUP(Q82,'Stats Calculator'!$T$24:$AA$27,4,FALSE),IF(AND(Q82&gt;0,COUNTIF('Stats Calculator'!$T$25:$AA$25,Q82)=1),HLOOKUP(Q82,'Stats Calculator'!$T$25:$AA$27,3,FALSE)))))</f>
        <v/>
      </c>
      <c r="AG82" t="str">
        <f>IF(I82="","",COUNTIF(I82,'Stats Calculator'!E$31)+COUNTIF(J82,'Stats Calculator'!E$32)+COUNTIF(K82,'Stats Calculator'!E$33)+COUNTIF(L82,'Stats Calculator'!E$34)+COUNTIF(M82,'Stats Calculator'!E$35)+COUNTIF(N82,'Stats Calculator'!E$36)+COUNTIF(O82,'Stats Calculator'!E$37)+COUNTIF(P82,'Stats Calculator'!E$38)-8+Data!S$3)</f>
        <v/>
      </c>
      <c r="AH82" t="str">
        <f>IF(I82="","",IF(Q82="",0,IF(Q82=0,0,IF(VLOOKUP(Engine!AF82,'Stats Calculator'!B$31:E$38,4,FALSE)="",0,IF(VLOOKUP(Engine!AF82,'Stats Calculator'!B$31:E$38,4,FALSE)=Q82,2,-2)))))</f>
        <v/>
      </c>
      <c r="AI82" t="str">
        <f>IF(I82="","",Data!S$3-COUNTA('Stats Calculator'!E$31:E$38))</f>
        <v/>
      </c>
      <c r="AJ82" t="str">
        <f>IF(I82="","",IF(AF82=0,0,IF(VLOOKUP(AF82,'Stats Calculator'!B$31:E$38,4,FALSE)&gt;0,0,2)))</f>
        <v/>
      </c>
      <c r="AK82" t="str">
        <f>IF(I82="","",IF(Data!S$3-Engine!AI82=AG82,2,0))</f>
        <v/>
      </c>
      <c r="AL82" t="str">
        <f t="shared" si="29"/>
        <v/>
      </c>
    </row>
    <row r="83" spans="1:38" x14ac:dyDescent="0.35">
      <c r="A83">
        <v>82</v>
      </c>
      <c r="B83" t="str">
        <f t="shared" si="20"/>
        <v/>
      </c>
      <c r="C83" s="111" t="str">
        <f t="shared" si="22"/>
        <v/>
      </c>
      <c r="D83" t="str">
        <f t="shared" si="21"/>
        <v/>
      </c>
      <c r="E83" s="3" t="str">
        <f t="shared" si="23"/>
        <v/>
      </c>
      <c r="F83" t="str">
        <f t="shared" si="24"/>
        <v/>
      </c>
      <c r="G83">
        <v>16</v>
      </c>
      <c r="H83" t="str">
        <f>Data!A80</f>
        <v>ZZZZZZ Suspend</v>
      </c>
      <c r="I83" s="2" t="str">
        <f>Data!C80</f>
        <v/>
      </c>
      <c r="J83" s="2" t="str">
        <f>Data!D80</f>
        <v/>
      </c>
      <c r="K83" s="2" t="str">
        <f>Data!E80</f>
        <v/>
      </c>
      <c r="L83" s="2" t="str">
        <f>IF(Data!$S$3&lt;Engine!L$1,0,Data!F80)</f>
        <v/>
      </c>
      <c r="M83" s="2" t="str">
        <f>IF(Data!$S$3&lt;Engine!M$1,0,Data!G80)</f>
        <v/>
      </c>
      <c r="N83" s="2" t="str">
        <f>IF(Data!$S$3&lt;Engine!N$1,0,Data!H80)</f>
        <v/>
      </c>
      <c r="O83" s="2" t="str">
        <f>IF(Data!$S$3&lt;Engine!O$1,0,Data!I80)</f>
        <v/>
      </c>
      <c r="P83" s="2" t="str">
        <f>IF(Data!$S$3&lt;Engine!P$1,0,Data!J80)</f>
        <v/>
      </c>
      <c r="Q83" s="11" t="str">
        <f>IF(Data!B80=1,Data!K80,"No Tips")</f>
        <v>No Tips</v>
      </c>
      <c r="R83" s="2" t="str">
        <f>Data!L80</f>
        <v/>
      </c>
      <c r="S83" s="2" t="str">
        <f>Data!M80</f>
        <v/>
      </c>
      <c r="T83" s="1" t="str">
        <f>IF(I83="","",COUNTIF('Live Ladder'!P:P,I83)+COUNTIF('Live Ladder'!P:P,J83)+COUNTIF('Live Ladder'!P:P,K83)+COUNTIF('Live Ladder'!P:P,L83)+COUNTIF('Live Ladder'!P:P,M83)+COUNTIF('Live Ladder'!P:P,N83)+COUNTIF('Live Ladder'!P:P,O83)+COUNTIF('Live Ladder'!P:P,P83))</f>
        <v/>
      </c>
      <c r="U83" s="1" t="str">
        <f>IF(I83="","",IF(COUNTIF('Live Ladder'!P:P,Engine!Q83)=1,2,IF(COUNTIF('Live Ladder'!Q:Q,Engine!Q83)=1,-2,0)))</f>
        <v/>
      </c>
      <c r="V83" s="1" t="str">
        <f>IF(I83="","",IF(T83=Data!S$3,2,0))</f>
        <v/>
      </c>
      <c r="W83" s="1">
        <f t="shared" si="25"/>
        <v>-2</v>
      </c>
      <c r="X83" s="1">
        <f>IF(I83="",AE$2,IF(I83='Live Ladder'!B$4,'Live Ladder'!C$4,'Live Ladder'!D$4)+IF(J83='Live Ladder'!B$5,'Live Ladder'!C$5,'Live Ladder'!D$5)+IF(K83='Live Ladder'!B$6,'Live Ladder'!C$6,'Live Ladder'!D$6)+IF(L83='Live Ladder'!B$7,'Live Ladder'!C$7,'Live Ladder'!D$7)+IF(M83='Live Ladder'!B$8,'Live Ladder'!C$8,'Live Ladder'!D$8)+IF(N83='Live Ladder'!B$9,'Live Ladder'!C$9,'Live Ladder'!D$9)+IF(O83='Live Ladder'!B$10,'Live Ladder'!C$10,'Live Ladder'!D$10)+IF(P83='Live Ladder'!B$11,'Live Ladder'!C$11,'Live Ladder'!D$11))</f>
        <v>18</v>
      </c>
      <c r="Y83" t="str">
        <f t="shared" si="30"/>
        <v/>
      </c>
      <c r="Z83" t="str">
        <f t="shared" si="26"/>
        <v/>
      </c>
      <c r="AA83" s="111" t="str">
        <f t="shared" si="27"/>
        <v/>
      </c>
      <c r="AB83">
        <f t="shared" si="28"/>
        <v>0</v>
      </c>
      <c r="AC83" t="str">
        <f>IF(I83="","",IF(I83='Live Ladder'!B$4,'Live Ladder'!C$4,'Live Ladder'!D$4)+IF(J83='Live Ladder'!B$5,'Live Ladder'!C$5,'Live Ladder'!D$5)+IF(K83='Live Ladder'!B$6,'Live Ladder'!C$6,'Live Ladder'!D$6)+IF(L83='Live Ladder'!B$7,'Live Ladder'!C$7,'Live Ladder'!D$7)+IF(M83='Live Ladder'!B$8,'Live Ladder'!C$8,'Live Ladder'!D$8)+IF(N83='Live Ladder'!B$9,'Live Ladder'!C$9,'Live Ladder'!D$9)+IF(O83='Live Ladder'!B$10,'Live Ladder'!C$10,'Live Ladder'!D$10)+IF(P83='Live Ladder'!B$11,'Live Ladder'!C$11,'Live Ladder'!D$11))</f>
        <v/>
      </c>
      <c r="AF83" t="str">
        <f>IF(I83="","",IF(Q83="",0,IF(AND(Q83&gt;0,COUNTIF('Stats Calculator'!$T$24:$AA$24,Q83)=1),HLOOKUP(Q83,'Stats Calculator'!$T$24:$AA$27,4,FALSE),IF(AND(Q83&gt;0,COUNTIF('Stats Calculator'!$T$25:$AA$25,Q83)=1),HLOOKUP(Q83,'Stats Calculator'!$T$25:$AA$27,3,FALSE)))))</f>
        <v/>
      </c>
      <c r="AG83" t="str">
        <f>IF(I83="","",COUNTIF(I83,'Stats Calculator'!E$31)+COUNTIF(J83,'Stats Calculator'!E$32)+COUNTIF(K83,'Stats Calculator'!E$33)+COUNTIF(L83,'Stats Calculator'!E$34)+COUNTIF(M83,'Stats Calculator'!E$35)+COUNTIF(N83,'Stats Calculator'!E$36)+COUNTIF(O83,'Stats Calculator'!E$37)+COUNTIF(P83,'Stats Calculator'!E$38)-8+Data!S$3)</f>
        <v/>
      </c>
      <c r="AH83" t="str">
        <f>IF(I83="","",IF(Q83="",0,IF(Q83=0,0,IF(VLOOKUP(Engine!AF83,'Stats Calculator'!B$31:E$38,4,FALSE)="",0,IF(VLOOKUP(Engine!AF83,'Stats Calculator'!B$31:E$38,4,FALSE)=Q83,2,-2)))))</f>
        <v/>
      </c>
      <c r="AI83" t="str">
        <f>IF(I83="","",Data!S$3-COUNTA('Stats Calculator'!E$31:E$38))</f>
        <v/>
      </c>
      <c r="AJ83" t="str">
        <f>IF(I83="","",IF(AF83=0,0,IF(VLOOKUP(AF83,'Stats Calculator'!B$31:E$38,4,FALSE)&gt;0,0,2)))</f>
        <v/>
      </c>
      <c r="AK83" t="str">
        <f>IF(I83="","",IF(Data!S$3-Engine!AI83=AG83,2,0))</f>
        <v/>
      </c>
      <c r="AL83" t="str">
        <f t="shared" si="29"/>
        <v/>
      </c>
    </row>
    <row r="84" spans="1:38" x14ac:dyDescent="0.35">
      <c r="A84">
        <v>83</v>
      </c>
      <c r="B84" t="str">
        <f t="shared" si="20"/>
        <v/>
      </c>
      <c r="C84" s="111" t="str">
        <f t="shared" si="22"/>
        <v/>
      </c>
      <c r="D84" t="str">
        <f t="shared" si="21"/>
        <v/>
      </c>
      <c r="E84" s="3" t="str">
        <f t="shared" si="23"/>
        <v/>
      </c>
      <c r="F84" t="str">
        <f t="shared" si="24"/>
        <v/>
      </c>
      <c r="G84">
        <v>13</v>
      </c>
      <c r="H84" t="str">
        <f>Data!A83</f>
        <v>ZZZZZZ Suspend</v>
      </c>
      <c r="I84" s="2" t="str">
        <f>Data!C83</f>
        <v/>
      </c>
      <c r="J84" s="2" t="str">
        <f>Data!D83</f>
        <v/>
      </c>
      <c r="K84" s="2" t="str">
        <f>Data!E83</f>
        <v/>
      </c>
      <c r="L84" s="2" t="str">
        <f>IF(Data!$S$3&lt;Engine!L$1,0,Data!F83)</f>
        <v/>
      </c>
      <c r="M84" s="2" t="str">
        <f>IF(Data!$S$3&lt;Engine!M$1,0,Data!G83)</f>
        <v/>
      </c>
      <c r="N84" s="2" t="str">
        <f>IF(Data!$S$3&lt;Engine!N$1,0,Data!H83)</f>
        <v/>
      </c>
      <c r="O84" s="2" t="str">
        <f>IF(Data!$S$3&lt;Engine!O$1,0,Data!I83)</f>
        <v/>
      </c>
      <c r="P84" s="2" t="str">
        <f>IF(Data!$S$3&lt;Engine!P$1,0,Data!J83)</f>
        <v/>
      </c>
      <c r="Q84" s="11" t="str">
        <f>IF(Data!B83=1,Data!K83,"No Tips")</f>
        <v>No Tips</v>
      </c>
      <c r="R84" s="2" t="str">
        <f>Data!L83</f>
        <v/>
      </c>
      <c r="S84" s="2" t="str">
        <f>Data!M83</f>
        <v/>
      </c>
      <c r="T84" s="1" t="str">
        <f>IF(I84="","",COUNTIF('Live Ladder'!P:P,I84)+COUNTIF('Live Ladder'!P:P,J84)+COUNTIF('Live Ladder'!P:P,K84)+COUNTIF('Live Ladder'!P:P,L84)+COUNTIF('Live Ladder'!P:P,M84)+COUNTIF('Live Ladder'!P:P,N84)+COUNTIF('Live Ladder'!P:P,O84)+COUNTIF('Live Ladder'!P:P,P84))</f>
        <v/>
      </c>
      <c r="U84" s="1" t="str">
        <f>IF(I84="","",IF(COUNTIF('Live Ladder'!P:P,Engine!Q84)=1,2,IF(COUNTIF('Live Ladder'!Q:Q,Engine!Q84)=1,-2,0)))</f>
        <v/>
      </c>
      <c r="V84" s="1" t="str">
        <f>IF(I84="","",IF(T84=Data!S$3,2,0))</f>
        <v/>
      </c>
      <c r="W84" s="1">
        <f t="shared" si="25"/>
        <v>-2</v>
      </c>
      <c r="X84" s="1">
        <f>IF(I84="",AE$2,IF(I84='Live Ladder'!B$4,'Live Ladder'!C$4,'Live Ladder'!D$4)+IF(J84='Live Ladder'!B$5,'Live Ladder'!C$5,'Live Ladder'!D$5)+IF(K84='Live Ladder'!B$6,'Live Ladder'!C$6,'Live Ladder'!D$6)+IF(L84='Live Ladder'!B$7,'Live Ladder'!C$7,'Live Ladder'!D$7)+IF(M84='Live Ladder'!B$8,'Live Ladder'!C$8,'Live Ladder'!D$8)+IF(N84='Live Ladder'!B$9,'Live Ladder'!C$9,'Live Ladder'!D$9)+IF(O84='Live Ladder'!B$10,'Live Ladder'!C$10,'Live Ladder'!D$10)+IF(P84='Live Ladder'!B$11,'Live Ladder'!C$11,'Live Ladder'!D$11))</f>
        <v>18</v>
      </c>
      <c r="Y84" t="str">
        <f t="shared" si="30"/>
        <v/>
      </c>
      <c r="Z84" t="str">
        <f t="shared" si="26"/>
        <v/>
      </c>
      <c r="AA84" s="111" t="str">
        <f t="shared" si="27"/>
        <v/>
      </c>
      <c r="AB84">
        <f t="shared" si="28"/>
        <v>0</v>
      </c>
      <c r="AC84" t="str">
        <f>IF(I84="","",IF(I84='Live Ladder'!B$4,'Live Ladder'!C$4,'Live Ladder'!D$4)+IF(J84='Live Ladder'!B$5,'Live Ladder'!C$5,'Live Ladder'!D$5)+IF(K84='Live Ladder'!B$6,'Live Ladder'!C$6,'Live Ladder'!D$6)+IF(L84='Live Ladder'!B$7,'Live Ladder'!C$7,'Live Ladder'!D$7)+IF(M84='Live Ladder'!B$8,'Live Ladder'!C$8,'Live Ladder'!D$8)+IF(N84='Live Ladder'!B$9,'Live Ladder'!C$9,'Live Ladder'!D$9)+IF(O84='Live Ladder'!B$10,'Live Ladder'!C$10,'Live Ladder'!D$10)+IF(P84='Live Ladder'!B$11,'Live Ladder'!C$11,'Live Ladder'!D$11))</f>
        <v/>
      </c>
      <c r="AF84" t="str">
        <f>IF(I84="","",IF(Q84="",0,IF(AND(Q84&gt;0,COUNTIF('Stats Calculator'!$T$24:$AA$24,Q84)=1),HLOOKUP(Q84,'Stats Calculator'!$T$24:$AA$27,4,FALSE),IF(AND(Q84&gt;0,COUNTIF('Stats Calculator'!$T$25:$AA$25,Q84)=1),HLOOKUP(Q84,'Stats Calculator'!$T$25:$AA$27,3,FALSE)))))</f>
        <v/>
      </c>
      <c r="AG84" t="str">
        <f>IF(I84="","",COUNTIF(I84,'Stats Calculator'!E$31)+COUNTIF(J84,'Stats Calculator'!E$32)+COUNTIF(K84,'Stats Calculator'!E$33)+COUNTIF(L84,'Stats Calculator'!E$34)+COUNTIF(M84,'Stats Calculator'!E$35)+COUNTIF(N84,'Stats Calculator'!E$36)+COUNTIF(O84,'Stats Calculator'!E$37)+COUNTIF(P84,'Stats Calculator'!E$38)-8+Data!S$3)</f>
        <v/>
      </c>
      <c r="AH84" t="str">
        <f>IF(I84="","",IF(Q84="",0,IF(Q84=0,0,IF(VLOOKUP(Engine!AF84,'Stats Calculator'!B$31:E$38,4,FALSE)="",0,IF(VLOOKUP(Engine!AF84,'Stats Calculator'!B$31:E$38,4,FALSE)=Q84,2,-2)))))</f>
        <v/>
      </c>
      <c r="AI84" t="str">
        <f>IF(I84="","",Data!S$3-COUNTA('Stats Calculator'!E$31:E$38))</f>
        <v/>
      </c>
      <c r="AJ84" t="str">
        <f>IF(I84="","",IF(AF84=0,0,IF(VLOOKUP(AF84,'Stats Calculator'!B$31:E$38,4,FALSE)&gt;0,0,2)))</f>
        <v/>
      </c>
      <c r="AK84" t="str">
        <f>IF(I84="","",IF(Data!S$3-Engine!AI84=AG84,2,0))</f>
        <v/>
      </c>
      <c r="AL84" t="str">
        <f t="shared" si="29"/>
        <v/>
      </c>
    </row>
    <row r="85" spans="1:38" x14ac:dyDescent="0.35">
      <c r="A85">
        <v>84</v>
      </c>
      <c r="B85" t="str">
        <f t="shared" si="20"/>
        <v/>
      </c>
      <c r="C85" s="111" t="str">
        <f t="shared" si="22"/>
        <v/>
      </c>
      <c r="D85" t="str">
        <f t="shared" si="21"/>
        <v/>
      </c>
      <c r="E85" s="3" t="str">
        <f t="shared" si="23"/>
        <v/>
      </c>
      <c r="F85" t="str">
        <f t="shared" si="24"/>
        <v/>
      </c>
      <c r="G85">
        <v>10</v>
      </c>
      <c r="H85" t="str">
        <f>Data!A86</f>
        <v>ZZZZZZ Suspend</v>
      </c>
      <c r="I85" s="2" t="str">
        <f>Data!C86</f>
        <v/>
      </c>
      <c r="J85" s="2" t="str">
        <f>Data!D86</f>
        <v/>
      </c>
      <c r="K85" s="2" t="str">
        <f>Data!E86</f>
        <v/>
      </c>
      <c r="L85" s="2" t="str">
        <f>IF(Data!$S$3&lt;Engine!L$1,0,Data!F86)</f>
        <v/>
      </c>
      <c r="M85" s="2" t="str">
        <f>IF(Data!$S$3&lt;Engine!M$1,0,Data!G86)</f>
        <v/>
      </c>
      <c r="N85" s="2" t="str">
        <f>IF(Data!$S$3&lt;Engine!N$1,0,Data!H86)</f>
        <v/>
      </c>
      <c r="O85" s="2" t="str">
        <f>IF(Data!$S$3&lt;Engine!O$1,0,Data!I86)</f>
        <v/>
      </c>
      <c r="P85" s="2" t="str">
        <f>IF(Data!$S$3&lt;Engine!P$1,0,Data!J86)</f>
        <v/>
      </c>
      <c r="Q85" s="11" t="str">
        <f>IF(Data!B86=1,Data!K86,"No Tips")</f>
        <v>No Tips</v>
      </c>
      <c r="R85" s="2" t="str">
        <f>Data!L86</f>
        <v/>
      </c>
      <c r="S85" s="2" t="str">
        <f>Data!M86</f>
        <v/>
      </c>
      <c r="T85" s="1" t="str">
        <f>IF(I85="","",COUNTIF('Live Ladder'!P:P,I85)+COUNTIF('Live Ladder'!P:P,J85)+COUNTIF('Live Ladder'!P:P,K85)+COUNTIF('Live Ladder'!P:P,L85)+COUNTIF('Live Ladder'!P:P,M85)+COUNTIF('Live Ladder'!P:P,N85)+COUNTIF('Live Ladder'!P:P,O85)+COUNTIF('Live Ladder'!P:P,P85))</f>
        <v/>
      </c>
      <c r="U85" s="1" t="str">
        <f>IF(I85="","",IF(COUNTIF('Live Ladder'!P:P,Engine!Q85)=1,2,IF(COUNTIF('Live Ladder'!Q:Q,Engine!Q85)=1,-2,0)))</f>
        <v/>
      </c>
      <c r="V85" s="1" t="str">
        <f>IF(I85="","",IF(T85=Data!S$3,2,0))</f>
        <v/>
      </c>
      <c r="W85" s="1">
        <f t="shared" si="25"/>
        <v>-2</v>
      </c>
      <c r="X85" s="1">
        <f>IF(I85="",AE$2,IF(I85='Live Ladder'!B$4,'Live Ladder'!C$4,'Live Ladder'!D$4)+IF(J85='Live Ladder'!B$5,'Live Ladder'!C$5,'Live Ladder'!D$5)+IF(K85='Live Ladder'!B$6,'Live Ladder'!C$6,'Live Ladder'!D$6)+IF(L85='Live Ladder'!B$7,'Live Ladder'!C$7,'Live Ladder'!D$7)+IF(M85='Live Ladder'!B$8,'Live Ladder'!C$8,'Live Ladder'!D$8)+IF(N85='Live Ladder'!B$9,'Live Ladder'!C$9,'Live Ladder'!D$9)+IF(O85='Live Ladder'!B$10,'Live Ladder'!C$10,'Live Ladder'!D$10)+IF(P85='Live Ladder'!B$11,'Live Ladder'!C$11,'Live Ladder'!D$11))</f>
        <v>18</v>
      </c>
      <c r="Y85" t="str">
        <f t="shared" si="30"/>
        <v/>
      </c>
      <c r="Z85" t="str">
        <f t="shared" si="26"/>
        <v/>
      </c>
      <c r="AA85" s="111" t="str">
        <f t="shared" si="27"/>
        <v/>
      </c>
      <c r="AB85">
        <f t="shared" si="28"/>
        <v>0</v>
      </c>
      <c r="AC85" t="str">
        <f>IF(I85="","",IF(I85='Live Ladder'!B$4,'Live Ladder'!C$4,'Live Ladder'!D$4)+IF(J85='Live Ladder'!B$5,'Live Ladder'!C$5,'Live Ladder'!D$5)+IF(K85='Live Ladder'!B$6,'Live Ladder'!C$6,'Live Ladder'!D$6)+IF(L85='Live Ladder'!B$7,'Live Ladder'!C$7,'Live Ladder'!D$7)+IF(M85='Live Ladder'!B$8,'Live Ladder'!C$8,'Live Ladder'!D$8)+IF(N85='Live Ladder'!B$9,'Live Ladder'!C$9,'Live Ladder'!D$9)+IF(O85='Live Ladder'!B$10,'Live Ladder'!C$10,'Live Ladder'!D$10)+IF(P85='Live Ladder'!B$11,'Live Ladder'!C$11,'Live Ladder'!D$11))</f>
        <v/>
      </c>
      <c r="AF85" t="str">
        <f>IF(I85="","",IF(Q85="",0,IF(AND(Q85&gt;0,COUNTIF('Stats Calculator'!$T$24:$AA$24,Q85)=1),HLOOKUP(Q85,'Stats Calculator'!$T$24:$AA$27,4,FALSE),IF(AND(Q85&gt;0,COUNTIF('Stats Calculator'!$T$25:$AA$25,Q85)=1),HLOOKUP(Q85,'Stats Calculator'!$T$25:$AA$27,3,FALSE)))))</f>
        <v/>
      </c>
      <c r="AG85" t="str">
        <f>IF(I85="","",COUNTIF(I85,'Stats Calculator'!E$31)+COUNTIF(J85,'Stats Calculator'!E$32)+COUNTIF(K85,'Stats Calculator'!E$33)+COUNTIF(L85,'Stats Calculator'!E$34)+COUNTIF(M85,'Stats Calculator'!E$35)+COUNTIF(N85,'Stats Calculator'!E$36)+COUNTIF(O85,'Stats Calculator'!E$37)+COUNTIF(P85,'Stats Calculator'!E$38)-8+Data!S$3)</f>
        <v/>
      </c>
      <c r="AH85" t="str">
        <f>IF(I85="","",IF(Q85="",0,IF(Q85=0,0,IF(VLOOKUP(Engine!AF85,'Stats Calculator'!B$31:E$38,4,FALSE)="",0,IF(VLOOKUP(Engine!AF85,'Stats Calculator'!B$31:E$38,4,FALSE)=Q85,2,-2)))))</f>
        <v/>
      </c>
      <c r="AI85" t="str">
        <f>IF(I85="","",Data!S$3-COUNTA('Stats Calculator'!E$31:E$38))</f>
        <v/>
      </c>
      <c r="AJ85" t="str">
        <f>IF(I85="","",IF(AF85=0,0,IF(VLOOKUP(AF85,'Stats Calculator'!B$31:E$38,4,FALSE)&gt;0,0,2)))</f>
        <v/>
      </c>
      <c r="AK85" t="str">
        <f>IF(I85="","",IF(Data!S$3-Engine!AI85=AG85,2,0))</f>
        <v/>
      </c>
      <c r="AL85" t="str">
        <f t="shared" si="29"/>
        <v/>
      </c>
    </row>
    <row r="86" spans="1:38" x14ac:dyDescent="0.35">
      <c r="A86">
        <v>85</v>
      </c>
      <c r="B86" t="str">
        <f t="shared" si="20"/>
        <v/>
      </c>
      <c r="C86" s="111" t="str">
        <f t="shared" ref="C86:C92" si="31">IF(H86="ZZZZZZ Suspend","",R86+(S86/100000)+(G86/1000000000))</f>
        <v/>
      </c>
      <c r="D86" t="str">
        <f t="shared" si="21"/>
        <v/>
      </c>
      <c r="E86" s="3" t="str">
        <f t="shared" ref="E86:E92" si="32">IF(H86="ZZZZZZ Suspend","",IF(D86&lt;B86,AD$3,IF(D86&gt;B86,AD$4,AD$5)))</f>
        <v/>
      </c>
      <c r="F86" t="str">
        <f t="shared" ref="F86:F92" si="33">IF(H86="ZZZZZZ Suspend","",IF(D86&gt;B86,D86-B86,IF(D86&lt;B86,B86-D86,"")))</f>
        <v/>
      </c>
      <c r="G86">
        <v>8</v>
      </c>
      <c r="H86" t="str">
        <f>Data!A88</f>
        <v>ZZZZZZ Suspend</v>
      </c>
      <c r="I86" s="2" t="str">
        <f>Data!C88</f>
        <v/>
      </c>
      <c r="J86" s="2" t="str">
        <f>Data!D88</f>
        <v/>
      </c>
      <c r="K86" s="2" t="str">
        <f>Data!E88</f>
        <v/>
      </c>
      <c r="L86" s="2" t="str">
        <f>IF(Data!$S$3&lt;Engine!L$1,0,Data!F88)</f>
        <v/>
      </c>
      <c r="M86" s="2" t="str">
        <f>IF(Data!$S$3&lt;Engine!M$1,0,Data!G88)</f>
        <v/>
      </c>
      <c r="N86" s="2" t="str">
        <f>IF(Data!$S$3&lt;Engine!N$1,0,Data!H88)</f>
        <v/>
      </c>
      <c r="O86" s="2" t="str">
        <f>IF(Data!$S$3&lt;Engine!O$1,0,Data!I88)</f>
        <v/>
      </c>
      <c r="P86" s="2" t="str">
        <f>IF(Data!$S$3&lt;Engine!P$1,0,Data!J88)</f>
        <v/>
      </c>
      <c r="Q86" s="11" t="str">
        <f>IF(Data!B88=1,Data!K88,"No Tips")</f>
        <v>No Tips</v>
      </c>
      <c r="R86" s="2" t="str">
        <f>Data!L88</f>
        <v/>
      </c>
      <c r="S86" s="2" t="str">
        <f>Data!M88</f>
        <v/>
      </c>
      <c r="T86" s="1" t="str">
        <f>IF(I86="","",COUNTIF('Live Ladder'!P:P,I86)+COUNTIF('Live Ladder'!P:P,J86)+COUNTIF('Live Ladder'!P:P,K86)+COUNTIF('Live Ladder'!P:P,L86)+COUNTIF('Live Ladder'!P:P,M86)+COUNTIF('Live Ladder'!P:P,N86)+COUNTIF('Live Ladder'!P:P,O86)+COUNTIF('Live Ladder'!P:P,P86))</f>
        <v/>
      </c>
      <c r="U86" s="1" t="str">
        <f>IF(I86="","",IF(COUNTIF('Live Ladder'!P:P,Engine!Q86)=1,2,IF(COUNTIF('Live Ladder'!Q:Q,Engine!Q86)=1,-2,0)))</f>
        <v/>
      </c>
      <c r="V86" s="1" t="str">
        <f>IF(I86="","",IF(T86=Data!S$3,2,0))</f>
        <v/>
      </c>
      <c r="W86" s="1">
        <f t="shared" ref="W86:W92" si="34">IF(I86="",AD$2,SUM(T86:V86))</f>
        <v>-2</v>
      </c>
      <c r="X86" s="1">
        <f>IF(I86="",AE$2,IF(I86='Live Ladder'!B$4,'Live Ladder'!C$4,'Live Ladder'!D$4)+IF(J86='Live Ladder'!B$5,'Live Ladder'!C$5,'Live Ladder'!D$5)+IF(K86='Live Ladder'!B$6,'Live Ladder'!C$6,'Live Ladder'!D$6)+IF(L86='Live Ladder'!B$7,'Live Ladder'!C$7,'Live Ladder'!D$7)+IF(M86='Live Ladder'!B$8,'Live Ladder'!C$8,'Live Ladder'!D$8)+IF(N86='Live Ladder'!B$9,'Live Ladder'!C$9,'Live Ladder'!D$9)+IF(O86='Live Ladder'!B$10,'Live Ladder'!C$10,'Live Ladder'!D$10)+IF(P86='Live Ladder'!B$11,'Live Ladder'!C$11,'Live Ladder'!D$11))</f>
        <v>18</v>
      </c>
      <c r="Y86" t="str">
        <f t="shared" ref="Y86:Y92" si="35">IF(H86="ZZZZZZ Suspend","",R86+W86)</f>
        <v/>
      </c>
      <c r="Z86" t="str">
        <f t="shared" ref="Z86:Z92" si="36">IF(H86="ZZZZZZ Suspend","",S86+X86)</f>
        <v/>
      </c>
      <c r="AA86" s="111" t="str">
        <f t="shared" ref="AA86:AA92" si="37">IF(H86="ZZZZZZ Suspend","",Y86+(Z86/100000)+(G86/1000000000))</f>
        <v/>
      </c>
      <c r="AB86">
        <f t="shared" ref="AB86:AB92" si="38">SUM(T86:V86)</f>
        <v>0</v>
      </c>
      <c r="AC86" t="str">
        <f>IF(I86="","",IF(I86='Live Ladder'!B$4,'Live Ladder'!C$4,'Live Ladder'!D$4)+IF(J86='Live Ladder'!B$5,'Live Ladder'!C$5,'Live Ladder'!D$5)+IF(K86='Live Ladder'!B$6,'Live Ladder'!C$6,'Live Ladder'!D$6)+IF(L86='Live Ladder'!B$7,'Live Ladder'!C$7,'Live Ladder'!D$7)+IF(M86='Live Ladder'!B$8,'Live Ladder'!C$8,'Live Ladder'!D$8)+IF(N86='Live Ladder'!B$9,'Live Ladder'!C$9,'Live Ladder'!D$9)+IF(O86='Live Ladder'!B$10,'Live Ladder'!C$10,'Live Ladder'!D$10)+IF(P86='Live Ladder'!B$11,'Live Ladder'!C$11,'Live Ladder'!D$11))</f>
        <v/>
      </c>
      <c r="AF86" t="str">
        <f>IF(I86="","",IF(Q86="",0,IF(AND(Q86&gt;0,COUNTIF('Stats Calculator'!$T$24:$AA$24,Q86)=1),HLOOKUP(Q86,'Stats Calculator'!$T$24:$AA$27,4,FALSE),IF(AND(Q86&gt;0,COUNTIF('Stats Calculator'!$T$25:$AA$25,Q86)=1),HLOOKUP(Q86,'Stats Calculator'!$T$25:$AA$27,3,FALSE)))))</f>
        <v/>
      </c>
      <c r="AG86" t="str">
        <f>IF(I86="","",COUNTIF(I86,'Stats Calculator'!E$31)+COUNTIF(J86,'Stats Calculator'!E$32)+COUNTIF(K86,'Stats Calculator'!E$33)+COUNTIF(L86,'Stats Calculator'!E$34)+COUNTIF(M86,'Stats Calculator'!E$35)+COUNTIF(N86,'Stats Calculator'!E$36)+COUNTIF(O86,'Stats Calculator'!E$37)+COUNTIF(P86,'Stats Calculator'!E$38)-8+Data!S$3)</f>
        <v/>
      </c>
      <c r="AH86" t="str">
        <f>IF(I86="","",IF(Q86="",0,IF(Q86=0,0,IF(VLOOKUP(Engine!AF86,'Stats Calculator'!B$31:E$38,4,FALSE)="",0,IF(VLOOKUP(Engine!AF86,'Stats Calculator'!B$31:E$38,4,FALSE)=Q86,2,-2)))))</f>
        <v/>
      </c>
      <c r="AI86" t="str">
        <f>IF(I86="","",Data!S$3-COUNTA('Stats Calculator'!E$31:E$38))</f>
        <v/>
      </c>
      <c r="AJ86" t="str">
        <f>IF(I86="","",IF(AF86=0,0,IF(VLOOKUP(AF86,'Stats Calculator'!B$31:E$38,4,FALSE)&gt;0,0,2)))</f>
        <v/>
      </c>
      <c r="AK86" t="str">
        <f>IF(I86="","",IF(Data!S$3-Engine!AI86=AG86,2,0))</f>
        <v/>
      </c>
      <c r="AL86" t="str">
        <f t="shared" ref="AL86:AL92" si="39">IF(I86="","",SUM(AG86:AK86))</f>
        <v/>
      </c>
    </row>
    <row r="87" spans="1:38" x14ac:dyDescent="0.35">
      <c r="A87">
        <v>86</v>
      </c>
      <c r="B87" t="str">
        <f t="shared" si="20"/>
        <v/>
      </c>
      <c r="C87" s="111" t="str">
        <f t="shared" si="31"/>
        <v/>
      </c>
      <c r="D87" t="str">
        <f t="shared" si="21"/>
        <v/>
      </c>
      <c r="E87" s="3" t="str">
        <f t="shared" si="32"/>
        <v/>
      </c>
      <c r="F87" t="str">
        <f t="shared" si="33"/>
        <v/>
      </c>
      <c r="G87">
        <v>7</v>
      </c>
      <c r="H87" t="str">
        <f>Data!A89</f>
        <v>ZZZZZZ Suspend</v>
      </c>
      <c r="I87" s="2" t="str">
        <f>Data!C89</f>
        <v/>
      </c>
      <c r="J87" s="2" t="str">
        <f>Data!D89</f>
        <v/>
      </c>
      <c r="K87" s="2" t="str">
        <f>Data!E89</f>
        <v/>
      </c>
      <c r="L87" s="2" t="str">
        <f>IF(Data!$S$3&lt;Engine!L$1,0,Data!F89)</f>
        <v/>
      </c>
      <c r="M87" s="2" t="str">
        <f>IF(Data!$S$3&lt;Engine!M$1,0,Data!G89)</f>
        <v/>
      </c>
      <c r="N87" s="2" t="str">
        <f>IF(Data!$S$3&lt;Engine!N$1,0,Data!H89)</f>
        <v/>
      </c>
      <c r="O87" s="2" t="str">
        <f>IF(Data!$S$3&lt;Engine!O$1,0,Data!I89)</f>
        <v/>
      </c>
      <c r="P87" s="2" t="str">
        <f>IF(Data!$S$3&lt;Engine!P$1,0,Data!J89)</f>
        <v/>
      </c>
      <c r="Q87" s="11" t="str">
        <f>IF(Data!B89=1,Data!K89,"No Tips")</f>
        <v>No Tips</v>
      </c>
      <c r="R87" s="2" t="str">
        <f>Data!L89</f>
        <v/>
      </c>
      <c r="S87" s="2" t="str">
        <f>Data!M89</f>
        <v/>
      </c>
      <c r="T87" s="1" t="str">
        <f>IF(I87="","",COUNTIF('Live Ladder'!P:P,I87)+COUNTIF('Live Ladder'!P:P,J87)+COUNTIF('Live Ladder'!P:P,K87)+COUNTIF('Live Ladder'!P:P,L87)+COUNTIF('Live Ladder'!P:P,M87)+COUNTIF('Live Ladder'!P:P,N87)+COUNTIF('Live Ladder'!P:P,O87)+COUNTIF('Live Ladder'!P:P,P87))</f>
        <v/>
      </c>
      <c r="U87" s="1" t="str">
        <f>IF(I87="","",IF(COUNTIF('Live Ladder'!P:P,Engine!Q87)=1,2,IF(COUNTIF('Live Ladder'!Q:Q,Engine!Q87)=1,-2,0)))</f>
        <v/>
      </c>
      <c r="V87" s="1" t="str">
        <f>IF(I87="","",IF(T87=Data!S$3,2,0))</f>
        <v/>
      </c>
      <c r="W87" s="1">
        <f t="shared" si="34"/>
        <v>-2</v>
      </c>
      <c r="X87" s="1">
        <f>IF(I87="",AE$2,IF(I87='Live Ladder'!B$4,'Live Ladder'!C$4,'Live Ladder'!D$4)+IF(J87='Live Ladder'!B$5,'Live Ladder'!C$5,'Live Ladder'!D$5)+IF(K87='Live Ladder'!B$6,'Live Ladder'!C$6,'Live Ladder'!D$6)+IF(L87='Live Ladder'!B$7,'Live Ladder'!C$7,'Live Ladder'!D$7)+IF(M87='Live Ladder'!B$8,'Live Ladder'!C$8,'Live Ladder'!D$8)+IF(N87='Live Ladder'!B$9,'Live Ladder'!C$9,'Live Ladder'!D$9)+IF(O87='Live Ladder'!B$10,'Live Ladder'!C$10,'Live Ladder'!D$10)+IF(P87='Live Ladder'!B$11,'Live Ladder'!C$11,'Live Ladder'!D$11))</f>
        <v>18</v>
      </c>
      <c r="Y87" t="str">
        <f t="shared" si="35"/>
        <v/>
      </c>
      <c r="Z87" t="str">
        <f t="shared" si="36"/>
        <v/>
      </c>
      <c r="AA87" s="111" t="str">
        <f t="shared" si="37"/>
        <v/>
      </c>
      <c r="AB87">
        <f t="shared" si="38"/>
        <v>0</v>
      </c>
      <c r="AC87" t="str">
        <f>IF(I87="","",IF(I87='Live Ladder'!B$4,'Live Ladder'!C$4,'Live Ladder'!D$4)+IF(J87='Live Ladder'!B$5,'Live Ladder'!C$5,'Live Ladder'!D$5)+IF(K87='Live Ladder'!B$6,'Live Ladder'!C$6,'Live Ladder'!D$6)+IF(L87='Live Ladder'!B$7,'Live Ladder'!C$7,'Live Ladder'!D$7)+IF(M87='Live Ladder'!B$8,'Live Ladder'!C$8,'Live Ladder'!D$8)+IF(N87='Live Ladder'!B$9,'Live Ladder'!C$9,'Live Ladder'!D$9)+IF(O87='Live Ladder'!B$10,'Live Ladder'!C$10,'Live Ladder'!D$10)+IF(P87='Live Ladder'!B$11,'Live Ladder'!C$11,'Live Ladder'!D$11))</f>
        <v/>
      </c>
      <c r="AF87" t="str">
        <f>IF(I87="","",IF(Q87="",0,IF(AND(Q87&gt;0,COUNTIF('Stats Calculator'!$T$24:$AA$24,Q87)=1),HLOOKUP(Q87,'Stats Calculator'!$T$24:$AA$27,4,FALSE),IF(AND(Q87&gt;0,COUNTIF('Stats Calculator'!$T$25:$AA$25,Q87)=1),HLOOKUP(Q87,'Stats Calculator'!$T$25:$AA$27,3,FALSE)))))</f>
        <v/>
      </c>
      <c r="AG87" t="str">
        <f>IF(I87="","",COUNTIF(I87,'Stats Calculator'!E$31)+COUNTIF(J87,'Stats Calculator'!E$32)+COUNTIF(K87,'Stats Calculator'!E$33)+COUNTIF(L87,'Stats Calculator'!E$34)+COUNTIF(M87,'Stats Calculator'!E$35)+COUNTIF(N87,'Stats Calculator'!E$36)+COUNTIF(O87,'Stats Calculator'!E$37)+COUNTIF(P87,'Stats Calculator'!E$38)-8+Data!S$3)</f>
        <v/>
      </c>
      <c r="AH87" t="str">
        <f>IF(I87="","",IF(Q87="",0,IF(Q87=0,0,IF(VLOOKUP(Engine!AF87,'Stats Calculator'!B$31:E$38,4,FALSE)="",0,IF(VLOOKUP(Engine!AF87,'Stats Calculator'!B$31:E$38,4,FALSE)=Q87,2,-2)))))</f>
        <v/>
      </c>
      <c r="AI87" t="str">
        <f>IF(I87="","",Data!S$3-COUNTA('Stats Calculator'!E$31:E$38))</f>
        <v/>
      </c>
      <c r="AJ87" t="str">
        <f>IF(I87="","",IF(AF87=0,0,IF(VLOOKUP(AF87,'Stats Calculator'!B$31:E$38,4,FALSE)&gt;0,0,2)))</f>
        <v/>
      </c>
      <c r="AK87" t="str">
        <f>IF(I87="","",IF(Data!S$3-Engine!AI87=AG87,2,0))</f>
        <v/>
      </c>
      <c r="AL87" t="str">
        <f t="shared" si="39"/>
        <v/>
      </c>
    </row>
    <row r="88" spans="1:38" x14ac:dyDescent="0.35">
      <c r="A88">
        <v>87</v>
      </c>
      <c r="B88" t="str">
        <f t="shared" si="20"/>
        <v/>
      </c>
      <c r="C88" s="111" t="str">
        <f t="shared" si="31"/>
        <v/>
      </c>
      <c r="D88" t="str">
        <f t="shared" si="21"/>
        <v/>
      </c>
      <c r="E88" s="3" t="str">
        <f t="shared" si="32"/>
        <v/>
      </c>
      <c r="F88" t="str">
        <f t="shared" si="33"/>
        <v/>
      </c>
      <c r="G88">
        <v>6</v>
      </c>
      <c r="H88" t="str">
        <f>Data!A90</f>
        <v>ZZZZZZ Suspend</v>
      </c>
      <c r="I88" s="2" t="str">
        <f>Data!C90</f>
        <v/>
      </c>
      <c r="J88" s="2" t="str">
        <f>Data!D90</f>
        <v/>
      </c>
      <c r="K88" s="2" t="str">
        <f>Data!E90</f>
        <v/>
      </c>
      <c r="L88" s="2" t="str">
        <f>IF(Data!$S$3&lt;Engine!L$1,0,Data!F90)</f>
        <v/>
      </c>
      <c r="M88" s="2" t="str">
        <f>IF(Data!$S$3&lt;Engine!M$1,0,Data!G90)</f>
        <v/>
      </c>
      <c r="N88" s="2" t="str">
        <f>IF(Data!$S$3&lt;Engine!N$1,0,Data!H90)</f>
        <v/>
      </c>
      <c r="O88" s="2" t="str">
        <f>IF(Data!$S$3&lt;Engine!O$1,0,Data!I90)</f>
        <v/>
      </c>
      <c r="P88" s="2" t="str">
        <f>IF(Data!$S$3&lt;Engine!P$1,0,Data!J90)</f>
        <v/>
      </c>
      <c r="Q88" s="11" t="str">
        <f>IF(Data!B90=1,Data!K90,"No Tips")</f>
        <v>No Tips</v>
      </c>
      <c r="R88" s="2" t="str">
        <f>Data!L90</f>
        <v/>
      </c>
      <c r="S88" s="2" t="str">
        <f>Data!M90</f>
        <v/>
      </c>
      <c r="T88" s="1" t="str">
        <f>IF(I88="","",COUNTIF('Live Ladder'!P:P,I88)+COUNTIF('Live Ladder'!P:P,J88)+COUNTIF('Live Ladder'!P:P,K88)+COUNTIF('Live Ladder'!P:P,L88)+COUNTIF('Live Ladder'!P:P,M88)+COUNTIF('Live Ladder'!P:P,N88)+COUNTIF('Live Ladder'!P:P,O88)+COUNTIF('Live Ladder'!P:P,P88))</f>
        <v/>
      </c>
      <c r="U88" s="1" t="str">
        <f>IF(I88="","",IF(COUNTIF('Live Ladder'!P:P,Engine!Q88)=1,2,IF(COUNTIF('Live Ladder'!Q:Q,Engine!Q88)=1,-2,0)))</f>
        <v/>
      </c>
      <c r="V88" s="1" t="str">
        <f>IF(I88="","",IF(T88=Data!S$3,2,0))</f>
        <v/>
      </c>
      <c r="W88" s="1">
        <f t="shared" si="34"/>
        <v>-2</v>
      </c>
      <c r="X88" s="1">
        <f>IF(I88="",AE$2,IF(I88='Live Ladder'!B$4,'Live Ladder'!C$4,'Live Ladder'!D$4)+IF(J88='Live Ladder'!B$5,'Live Ladder'!C$5,'Live Ladder'!D$5)+IF(K88='Live Ladder'!B$6,'Live Ladder'!C$6,'Live Ladder'!D$6)+IF(L88='Live Ladder'!B$7,'Live Ladder'!C$7,'Live Ladder'!D$7)+IF(M88='Live Ladder'!B$8,'Live Ladder'!C$8,'Live Ladder'!D$8)+IF(N88='Live Ladder'!B$9,'Live Ladder'!C$9,'Live Ladder'!D$9)+IF(O88='Live Ladder'!B$10,'Live Ladder'!C$10,'Live Ladder'!D$10)+IF(P88='Live Ladder'!B$11,'Live Ladder'!C$11,'Live Ladder'!D$11))</f>
        <v>18</v>
      </c>
      <c r="Y88" t="str">
        <f t="shared" si="35"/>
        <v/>
      </c>
      <c r="Z88" t="str">
        <f t="shared" si="36"/>
        <v/>
      </c>
      <c r="AA88" s="111" t="str">
        <f t="shared" si="37"/>
        <v/>
      </c>
      <c r="AB88">
        <f t="shared" si="38"/>
        <v>0</v>
      </c>
      <c r="AC88" t="str">
        <f>IF(I88="","",IF(I88='Live Ladder'!B$4,'Live Ladder'!C$4,'Live Ladder'!D$4)+IF(J88='Live Ladder'!B$5,'Live Ladder'!C$5,'Live Ladder'!D$5)+IF(K88='Live Ladder'!B$6,'Live Ladder'!C$6,'Live Ladder'!D$6)+IF(L88='Live Ladder'!B$7,'Live Ladder'!C$7,'Live Ladder'!D$7)+IF(M88='Live Ladder'!B$8,'Live Ladder'!C$8,'Live Ladder'!D$8)+IF(N88='Live Ladder'!B$9,'Live Ladder'!C$9,'Live Ladder'!D$9)+IF(O88='Live Ladder'!B$10,'Live Ladder'!C$10,'Live Ladder'!D$10)+IF(P88='Live Ladder'!B$11,'Live Ladder'!C$11,'Live Ladder'!D$11))</f>
        <v/>
      </c>
      <c r="AF88" t="str">
        <f>IF(I88="","",IF(Q88="",0,IF(AND(Q88&gt;0,COUNTIF('Stats Calculator'!$T$24:$AA$24,Q88)=1),HLOOKUP(Q88,'Stats Calculator'!$T$24:$AA$27,4,FALSE),IF(AND(Q88&gt;0,COUNTIF('Stats Calculator'!$T$25:$AA$25,Q88)=1),HLOOKUP(Q88,'Stats Calculator'!$T$25:$AA$27,3,FALSE)))))</f>
        <v/>
      </c>
      <c r="AG88" t="str">
        <f>IF(I88="","",COUNTIF(I88,'Stats Calculator'!E$31)+COUNTIF(J88,'Stats Calculator'!E$32)+COUNTIF(K88,'Stats Calculator'!E$33)+COUNTIF(L88,'Stats Calculator'!E$34)+COUNTIF(M88,'Stats Calculator'!E$35)+COUNTIF(N88,'Stats Calculator'!E$36)+COUNTIF(O88,'Stats Calculator'!E$37)+COUNTIF(P88,'Stats Calculator'!E$38)-8+Data!S$3)</f>
        <v/>
      </c>
      <c r="AH88" t="str">
        <f>IF(I88="","",IF(Q88="",0,IF(Q88=0,0,IF(VLOOKUP(Engine!AF88,'Stats Calculator'!B$31:E$38,4,FALSE)="",0,IF(VLOOKUP(Engine!AF88,'Stats Calculator'!B$31:E$38,4,FALSE)=Q88,2,-2)))))</f>
        <v/>
      </c>
      <c r="AI88" t="str">
        <f>IF(I88="","",Data!S$3-COUNTA('Stats Calculator'!E$31:E$38))</f>
        <v/>
      </c>
      <c r="AJ88" t="str">
        <f>IF(I88="","",IF(AF88=0,0,IF(VLOOKUP(AF88,'Stats Calculator'!B$31:E$38,4,FALSE)&gt;0,0,2)))</f>
        <v/>
      </c>
      <c r="AK88" t="str">
        <f>IF(I88="","",IF(Data!S$3-Engine!AI88=AG88,2,0))</f>
        <v/>
      </c>
      <c r="AL88" t="str">
        <f t="shared" si="39"/>
        <v/>
      </c>
    </row>
    <row r="89" spans="1:38" x14ac:dyDescent="0.35">
      <c r="A89">
        <v>88</v>
      </c>
      <c r="B89" t="str">
        <f t="shared" si="20"/>
        <v/>
      </c>
      <c r="C89" s="111" t="str">
        <f t="shared" si="31"/>
        <v/>
      </c>
      <c r="D89" t="str">
        <f t="shared" si="21"/>
        <v/>
      </c>
      <c r="E89" s="3" t="str">
        <f t="shared" si="32"/>
        <v/>
      </c>
      <c r="F89" t="str">
        <f t="shared" si="33"/>
        <v/>
      </c>
      <c r="G89">
        <v>4</v>
      </c>
      <c r="H89" t="str">
        <f>Data!A92</f>
        <v>ZZZZZZ Suspend</v>
      </c>
      <c r="I89" s="2" t="str">
        <f>Data!C92</f>
        <v/>
      </c>
      <c r="J89" s="2" t="str">
        <f>Data!D92</f>
        <v/>
      </c>
      <c r="K89" s="2" t="str">
        <f>Data!E92</f>
        <v/>
      </c>
      <c r="L89" s="2" t="str">
        <f>IF(Data!$S$3&lt;Engine!L$1,0,Data!F92)</f>
        <v/>
      </c>
      <c r="M89" s="2" t="str">
        <f>IF(Data!$S$3&lt;Engine!M$1,0,Data!G92)</f>
        <v/>
      </c>
      <c r="N89" s="2" t="str">
        <f>IF(Data!$S$3&lt;Engine!N$1,0,Data!H92)</f>
        <v/>
      </c>
      <c r="O89" s="2" t="str">
        <f>IF(Data!$S$3&lt;Engine!O$1,0,Data!I92)</f>
        <v/>
      </c>
      <c r="P89" s="2" t="str">
        <f>IF(Data!$S$3&lt;Engine!P$1,0,Data!J92)</f>
        <v/>
      </c>
      <c r="Q89" s="11" t="str">
        <f>IF(Data!B92=1,Data!K92,"No Tips")</f>
        <v>No Tips</v>
      </c>
      <c r="R89" s="2" t="str">
        <f>Data!L92</f>
        <v/>
      </c>
      <c r="S89" s="2" t="str">
        <f>Data!M92</f>
        <v/>
      </c>
      <c r="T89" s="1" t="str">
        <f>IF(I89="","",COUNTIF('Live Ladder'!P:P,I89)+COUNTIF('Live Ladder'!P:P,J89)+COUNTIF('Live Ladder'!P:P,K89)+COUNTIF('Live Ladder'!P:P,L89)+COUNTIF('Live Ladder'!P:P,M89)+COUNTIF('Live Ladder'!P:P,N89)+COUNTIF('Live Ladder'!P:P,O89)+COUNTIF('Live Ladder'!P:P,P89))</f>
        <v/>
      </c>
      <c r="U89" s="1" t="str">
        <f>IF(I89="","",IF(COUNTIF('Live Ladder'!P:P,Engine!Q89)=1,2,IF(COUNTIF('Live Ladder'!Q:Q,Engine!Q89)=1,-2,0)))</f>
        <v/>
      </c>
      <c r="V89" s="1" t="str">
        <f>IF(I89="","",IF(T89=Data!S$3,2,0))</f>
        <v/>
      </c>
      <c r="W89" s="1">
        <f t="shared" si="34"/>
        <v>-2</v>
      </c>
      <c r="X89" s="1">
        <f>IF(I89="",AE$2,IF(I89='Live Ladder'!B$4,'Live Ladder'!C$4,'Live Ladder'!D$4)+IF(J89='Live Ladder'!B$5,'Live Ladder'!C$5,'Live Ladder'!D$5)+IF(K89='Live Ladder'!B$6,'Live Ladder'!C$6,'Live Ladder'!D$6)+IF(L89='Live Ladder'!B$7,'Live Ladder'!C$7,'Live Ladder'!D$7)+IF(M89='Live Ladder'!B$8,'Live Ladder'!C$8,'Live Ladder'!D$8)+IF(N89='Live Ladder'!B$9,'Live Ladder'!C$9,'Live Ladder'!D$9)+IF(O89='Live Ladder'!B$10,'Live Ladder'!C$10,'Live Ladder'!D$10)+IF(P89='Live Ladder'!B$11,'Live Ladder'!C$11,'Live Ladder'!D$11))</f>
        <v>18</v>
      </c>
      <c r="Y89" t="str">
        <f t="shared" si="35"/>
        <v/>
      </c>
      <c r="Z89" t="str">
        <f t="shared" si="36"/>
        <v/>
      </c>
      <c r="AA89" s="111" t="str">
        <f t="shared" si="37"/>
        <v/>
      </c>
      <c r="AB89">
        <f t="shared" si="38"/>
        <v>0</v>
      </c>
      <c r="AC89" t="str">
        <f>IF(I89="","",IF(I89='Live Ladder'!B$4,'Live Ladder'!C$4,'Live Ladder'!D$4)+IF(J89='Live Ladder'!B$5,'Live Ladder'!C$5,'Live Ladder'!D$5)+IF(K89='Live Ladder'!B$6,'Live Ladder'!C$6,'Live Ladder'!D$6)+IF(L89='Live Ladder'!B$7,'Live Ladder'!C$7,'Live Ladder'!D$7)+IF(M89='Live Ladder'!B$8,'Live Ladder'!C$8,'Live Ladder'!D$8)+IF(N89='Live Ladder'!B$9,'Live Ladder'!C$9,'Live Ladder'!D$9)+IF(O89='Live Ladder'!B$10,'Live Ladder'!C$10,'Live Ladder'!D$10)+IF(P89='Live Ladder'!B$11,'Live Ladder'!C$11,'Live Ladder'!D$11))</f>
        <v/>
      </c>
      <c r="AF89" t="str">
        <f>IF(I89="","",IF(Q89="",0,IF(AND(Q89&gt;0,COUNTIF('Stats Calculator'!$T$24:$AA$24,Q89)=1),HLOOKUP(Q89,'Stats Calculator'!$T$24:$AA$27,4,FALSE),IF(AND(Q89&gt;0,COUNTIF('Stats Calculator'!$T$25:$AA$25,Q89)=1),HLOOKUP(Q89,'Stats Calculator'!$T$25:$AA$27,3,FALSE)))))</f>
        <v/>
      </c>
      <c r="AG89" t="str">
        <f>IF(I89="","",COUNTIF(I89,'Stats Calculator'!E$31)+COUNTIF(J89,'Stats Calculator'!E$32)+COUNTIF(K89,'Stats Calculator'!E$33)+COUNTIF(L89,'Stats Calculator'!E$34)+COUNTIF(M89,'Stats Calculator'!E$35)+COUNTIF(N89,'Stats Calculator'!E$36)+COUNTIF(O89,'Stats Calculator'!E$37)+COUNTIF(P89,'Stats Calculator'!E$38)-8+Data!S$3)</f>
        <v/>
      </c>
      <c r="AH89" t="str">
        <f>IF(I89="","",IF(Q89="",0,IF(Q89=0,0,IF(VLOOKUP(Engine!AF89,'Stats Calculator'!B$31:E$38,4,FALSE)="",0,IF(VLOOKUP(Engine!AF89,'Stats Calculator'!B$31:E$38,4,FALSE)=Q89,2,-2)))))</f>
        <v/>
      </c>
      <c r="AI89" t="str">
        <f>IF(I89="","",Data!S$3-COUNTA('Stats Calculator'!E$31:E$38))</f>
        <v/>
      </c>
      <c r="AJ89" t="str">
        <f>IF(I89="","",IF(AF89=0,0,IF(VLOOKUP(AF89,'Stats Calculator'!B$31:E$38,4,FALSE)&gt;0,0,2)))</f>
        <v/>
      </c>
      <c r="AK89" t="str">
        <f>IF(I89="","",IF(Data!S$3-Engine!AI89=AG89,2,0))</f>
        <v/>
      </c>
      <c r="AL89" t="str">
        <f t="shared" si="39"/>
        <v/>
      </c>
    </row>
    <row r="90" spans="1:38" x14ac:dyDescent="0.35">
      <c r="A90">
        <v>89</v>
      </c>
      <c r="B90" t="str">
        <f t="shared" si="20"/>
        <v/>
      </c>
      <c r="C90" s="111" t="str">
        <f t="shared" si="31"/>
        <v/>
      </c>
      <c r="D90" t="str">
        <f t="shared" si="21"/>
        <v/>
      </c>
      <c r="E90" s="3" t="str">
        <f t="shared" si="32"/>
        <v/>
      </c>
      <c r="F90" t="str">
        <f t="shared" si="33"/>
        <v/>
      </c>
      <c r="G90">
        <v>3</v>
      </c>
      <c r="H90" t="str">
        <f>Data!A93</f>
        <v>ZZZZZZ Suspend</v>
      </c>
      <c r="I90" s="2" t="str">
        <f>Data!C93</f>
        <v/>
      </c>
      <c r="J90" s="2" t="str">
        <f>Data!D93</f>
        <v/>
      </c>
      <c r="K90" s="2" t="str">
        <f>Data!E93</f>
        <v/>
      </c>
      <c r="L90" s="2" t="str">
        <f>IF(Data!$S$3&lt;Engine!L$1,0,Data!F93)</f>
        <v/>
      </c>
      <c r="M90" s="2" t="str">
        <f>IF(Data!$S$3&lt;Engine!M$1,0,Data!G93)</f>
        <v/>
      </c>
      <c r="N90" s="2" t="str">
        <f>IF(Data!$S$3&lt;Engine!N$1,0,Data!H93)</f>
        <v/>
      </c>
      <c r="O90" s="2" t="str">
        <f>IF(Data!$S$3&lt;Engine!O$1,0,Data!I93)</f>
        <v/>
      </c>
      <c r="P90" s="2" t="str">
        <f>IF(Data!$S$3&lt;Engine!P$1,0,Data!J93)</f>
        <v/>
      </c>
      <c r="Q90" s="11" t="str">
        <f>IF(Data!B93=1,Data!K93,"No Tips")</f>
        <v>No Tips</v>
      </c>
      <c r="R90" s="2" t="str">
        <f>Data!L93</f>
        <v/>
      </c>
      <c r="S90" s="2" t="str">
        <f>Data!M93</f>
        <v/>
      </c>
      <c r="T90" s="1" t="str">
        <f>IF(I90="","",COUNTIF('Live Ladder'!P:P,I90)+COUNTIF('Live Ladder'!P:P,J90)+COUNTIF('Live Ladder'!P:P,K90)+COUNTIF('Live Ladder'!P:P,L90)+COUNTIF('Live Ladder'!P:P,M90)+COUNTIF('Live Ladder'!P:P,N90)+COUNTIF('Live Ladder'!P:P,O90)+COUNTIF('Live Ladder'!P:P,P90))</f>
        <v/>
      </c>
      <c r="U90" s="1" t="str">
        <f>IF(I90="","",IF(COUNTIF('Live Ladder'!P:P,Engine!Q90)=1,2,IF(COUNTIF('Live Ladder'!Q:Q,Engine!Q90)=1,-2,0)))</f>
        <v/>
      </c>
      <c r="V90" s="1" t="str">
        <f>IF(I90="","",IF(T90=Data!S$3,2,0))</f>
        <v/>
      </c>
      <c r="W90" s="1">
        <f t="shared" si="34"/>
        <v>-2</v>
      </c>
      <c r="X90" s="1">
        <f>IF(I90="",AE$2,IF(I90='Live Ladder'!B$4,'Live Ladder'!C$4,'Live Ladder'!D$4)+IF(J90='Live Ladder'!B$5,'Live Ladder'!C$5,'Live Ladder'!D$5)+IF(K90='Live Ladder'!B$6,'Live Ladder'!C$6,'Live Ladder'!D$6)+IF(L90='Live Ladder'!B$7,'Live Ladder'!C$7,'Live Ladder'!D$7)+IF(M90='Live Ladder'!B$8,'Live Ladder'!C$8,'Live Ladder'!D$8)+IF(N90='Live Ladder'!B$9,'Live Ladder'!C$9,'Live Ladder'!D$9)+IF(O90='Live Ladder'!B$10,'Live Ladder'!C$10,'Live Ladder'!D$10)+IF(P90='Live Ladder'!B$11,'Live Ladder'!C$11,'Live Ladder'!D$11))</f>
        <v>18</v>
      </c>
      <c r="Y90" t="str">
        <f t="shared" si="35"/>
        <v/>
      </c>
      <c r="Z90" t="str">
        <f t="shared" si="36"/>
        <v/>
      </c>
      <c r="AA90" s="111" t="str">
        <f t="shared" si="37"/>
        <v/>
      </c>
      <c r="AB90">
        <f t="shared" si="38"/>
        <v>0</v>
      </c>
      <c r="AC90" t="str">
        <f>IF(I90="","",IF(I90='Live Ladder'!B$4,'Live Ladder'!C$4,'Live Ladder'!D$4)+IF(J90='Live Ladder'!B$5,'Live Ladder'!C$5,'Live Ladder'!D$5)+IF(K90='Live Ladder'!B$6,'Live Ladder'!C$6,'Live Ladder'!D$6)+IF(L90='Live Ladder'!B$7,'Live Ladder'!C$7,'Live Ladder'!D$7)+IF(M90='Live Ladder'!B$8,'Live Ladder'!C$8,'Live Ladder'!D$8)+IF(N90='Live Ladder'!B$9,'Live Ladder'!C$9,'Live Ladder'!D$9)+IF(O90='Live Ladder'!B$10,'Live Ladder'!C$10,'Live Ladder'!D$10)+IF(P90='Live Ladder'!B$11,'Live Ladder'!C$11,'Live Ladder'!D$11))</f>
        <v/>
      </c>
      <c r="AF90" t="str">
        <f>IF(I90="","",IF(Q90="",0,IF(AND(Q90&gt;0,COUNTIF('Stats Calculator'!$T$24:$AA$24,Q90)=1),HLOOKUP(Q90,'Stats Calculator'!$T$24:$AA$27,4,FALSE),IF(AND(Q90&gt;0,COUNTIF('Stats Calculator'!$T$25:$AA$25,Q90)=1),HLOOKUP(Q90,'Stats Calculator'!$T$25:$AA$27,3,FALSE)))))</f>
        <v/>
      </c>
      <c r="AG90" t="str">
        <f>IF(I90="","",COUNTIF(I90,'Stats Calculator'!E$31)+COUNTIF(J90,'Stats Calculator'!E$32)+COUNTIF(K90,'Stats Calculator'!E$33)+COUNTIF(L90,'Stats Calculator'!E$34)+COUNTIF(M90,'Stats Calculator'!E$35)+COUNTIF(N90,'Stats Calculator'!E$36)+COUNTIF(O90,'Stats Calculator'!E$37)+COUNTIF(P90,'Stats Calculator'!E$38)-8+Data!S$3)</f>
        <v/>
      </c>
      <c r="AH90" t="str">
        <f>IF(I90="","",IF(Q90="",0,IF(Q90=0,0,IF(VLOOKUP(Engine!AF90,'Stats Calculator'!B$31:E$38,4,FALSE)="",0,IF(VLOOKUP(Engine!AF90,'Stats Calculator'!B$31:E$38,4,FALSE)=Q90,2,-2)))))</f>
        <v/>
      </c>
      <c r="AI90" t="str">
        <f>IF(I90="","",Data!S$3-COUNTA('Stats Calculator'!E$31:E$38))</f>
        <v/>
      </c>
      <c r="AJ90" t="str">
        <f>IF(I90="","",IF(AF90=0,0,IF(VLOOKUP(AF90,'Stats Calculator'!B$31:E$38,4,FALSE)&gt;0,0,2)))</f>
        <v/>
      </c>
      <c r="AK90" t="str">
        <f>IF(I90="","",IF(Data!S$3-Engine!AI90=AG90,2,0))</f>
        <v/>
      </c>
      <c r="AL90" t="str">
        <f t="shared" si="39"/>
        <v/>
      </c>
    </row>
    <row r="91" spans="1:38" x14ac:dyDescent="0.35">
      <c r="A91">
        <v>90</v>
      </c>
      <c r="B91" t="str">
        <f t="shared" si="20"/>
        <v/>
      </c>
      <c r="C91" s="111" t="str">
        <f t="shared" si="31"/>
        <v/>
      </c>
      <c r="D91" t="str">
        <f t="shared" si="21"/>
        <v/>
      </c>
      <c r="E91" s="3" t="str">
        <f t="shared" si="32"/>
        <v/>
      </c>
      <c r="F91" t="str">
        <f t="shared" si="33"/>
        <v/>
      </c>
      <c r="G91">
        <v>2</v>
      </c>
      <c r="H91" t="str">
        <f>Data!A94</f>
        <v>ZZZZZZ Suspend</v>
      </c>
      <c r="I91" s="2" t="str">
        <f>Data!C94</f>
        <v/>
      </c>
      <c r="J91" s="2" t="str">
        <f>Data!D94</f>
        <v/>
      </c>
      <c r="K91" s="2" t="str">
        <f>Data!E94</f>
        <v/>
      </c>
      <c r="L91" s="2" t="str">
        <f>IF(Data!$S$3&lt;Engine!L$1,0,Data!F94)</f>
        <v/>
      </c>
      <c r="M91" s="2" t="str">
        <f>IF(Data!$S$3&lt;Engine!M$1,0,Data!G94)</f>
        <v/>
      </c>
      <c r="N91" s="2" t="str">
        <f>IF(Data!$S$3&lt;Engine!N$1,0,Data!H94)</f>
        <v/>
      </c>
      <c r="O91" s="2" t="str">
        <f>IF(Data!$S$3&lt;Engine!O$1,0,Data!I94)</f>
        <v/>
      </c>
      <c r="P91" s="2" t="str">
        <f>IF(Data!$S$3&lt;Engine!P$1,0,Data!J94)</f>
        <v/>
      </c>
      <c r="Q91" s="11" t="str">
        <f>IF(Data!B94=1,Data!K94,"No Tips")</f>
        <v>No Tips</v>
      </c>
      <c r="R91" s="2" t="str">
        <f>Data!L94</f>
        <v/>
      </c>
      <c r="S91" s="2" t="str">
        <f>Data!M94</f>
        <v/>
      </c>
      <c r="T91" s="1" t="str">
        <f>IF(I91="","",COUNTIF('Live Ladder'!P:P,I91)+COUNTIF('Live Ladder'!P:P,J91)+COUNTIF('Live Ladder'!P:P,K91)+COUNTIF('Live Ladder'!P:P,L91)+COUNTIF('Live Ladder'!P:P,M91)+COUNTIF('Live Ladder'!P:P,N91)+COUNTIF('Live Ladder'!P:P,O91)+COUNTIF('Live Ladder'!P:P,P91))</f>
        <v/>
      </c>
      <c r="U91" s="1" t="str">
        <f>IF(I91="","",IF(COUNTIF('Live Ladder'!P:P,Engine!Q91)=1,2,IF(COUNTIF('Live Ladder'!Q:Q,Engine!Q91)=1,-2,0)))</f>
        <v/>
      </c>
      <c r="V91" s="1" t="str">
        <f>IF(I91="","",IF(T91=Data!S$3,2,0))</f>
        <v/>
      </c>
      <c r="W91" s="1">
        <f t="shared" si="34"/>
        <v>-2</v>
      </c>
      <c r="X91" s="1">
        <f>IF(I91="",AE$2,IF(I91='Live Ladder'!B$4,'Live Ladder'!C$4,'Live Ladder'!D$4)+IF(J91='Live Ladder'!B$5,'Live Ladder'!C$5,'Live Ladder'!D$5)+IF(K91='Live Ladder'!B$6,'Live Ladder'!C$6,'Live Ladder'!D$6)+IF(L91='Live Ladder'!B$7,'Live Ladder'!C$7,'Live Ladder'!D$7)+IF(M91='Live Ladder'!B$8,'Live Ladder'!C$8,'Live Ladder'!D$8)+IF(N91='Live Ladder'!B$9,'Live Ladder'!C$9,'Live Ladder'!D$9)+IF(O91='Live Ladder'!B$10,'Live Ladder'!C$10,'Live Ladder'!D$10)+IF(P91='Live Ladder'!B$11,'Live Ladder'!C$11,'Live Ladder'!D$11))</f>
        <v>18</v>
      </c>
      <c r="Y91" t="str">
        <f t="shared" si="35"/>
        <v/>
      </c>
      <c r="Z91" t="str">
        <f t="shared" si="36"/>
        <v/>
      </c>
      <c r="AA91" s="111" t="str">
        <f t="shared" si="37"/>
        <v/>
      </c>
      <c r="AB91">
        <f t="shared" si="38"/>
        <v>0</v>
      </c>
      <c r="AC91" t="str">
        <f>IF(I91="","",IF(I91='Live Ladder'!B$4,'Live Ladder'!C$4,'Live Ladder'!D$4)+IF(J91='Live Ladder'!B$5,'Live Ladder'!C$5,'Live Ladder'!D$5)+IF(K91='Live Ladder'!B$6,'Live Ladder'!C$6,'Live Ladder'!D$6)+IF(L91='Live Ladder'!B$7,'Live Ladder'!C$7,'Live Ladder'!D$7)+IF(M91='Live Ladder'!B$8,'Live Ladder'!C$8,'Live Ladder'!D$8)+IF(N91='Live Ladder'!B$9,'Live Ladder'!C$9,'Live Ladder'!D$9)+IF(O91='Live Ladder'!B$10,'Live Ladder'!C$10,'Live Ladder'!D$10)+IF(P91='Live Ladder'!B$11,'Live Ladder'!C$11,'Live Ladder'!D$11))</f>
        <v/>
      </c>
      <c r="AF91" t="str">
        <f>IF(I91="","",IF(Q91="",0,IF(AND(Q91&gt;0,COUNTIF('Stats Calculator'!$T$24:$AA$24,Q91)=1),HLOOKUP(Q91,'Stats Calculator'!$T$24:$AA$27,4,FALSE),IF(AND(Q91&gt;0,COUNTIF('Stats Calculator'!$T$25:$AA$25,Q91)=1),HLOOKUP(Q91,'Stats Calculator'!$T$25:$AA$27,3,FALSE)))))</f>
        <v/>
      </c>
      <c r="AG91" t="str">
        <f>IF(I91="","",COUNTIF(I91,'Stats Calculator'!E$31)+COUNTIF(J91,'Stats Calculator'!E$32)+COUNTIF(K91,'Stats Calculator'!E$33)+COUNTIF(L91,'Stats Calculator'!E$34)+COUNTIF(M91,'Stats Calculator'!E$35)+COUNTIF(N91,'Stats Calculator'!E$36)+COUNTIF(O91,'Stats Calculator'!E$37)+COUNTIF(P91,'Stats Calculator'!E$38)-8+Data!S$3)</f>
        <v/>
      </c>
      <c r="AH91" t="str">
        <f>IF(I91="","",IF(Q91="",0,IF(Q91=0,0,IF(VLOOKUP(Engine!AF91,'Stats Calculator'!B$31:E$38,4,FALSE)="",0,IF(VLOOKUP(Engine!AF91,'Stats Calculator'!B$31:E$38,4,FALSE)=Q91,2,-2)))))</f>
        <v/>
      </c>
      <c r="AI91" t="str">
        <f>IF(I91="","",Data!S$3-COUNTA('Stats Calculator'!E$31:E$38))</f>
        <v/>
      </c>
      <c r="AJ91" t="str">
        <f>IF(I91="","",IF(AF91=0,0,IF(VLOOKUP(AF91,'Stats Calculator'!B$31:E$38,4,FALSE)&gt;0,0,2)))</f>
        <v/>
      </c>
      <c r="AK91" t="str">
        <f>IF(I91="","",IF(Data!S$3-Engine!AI91=AG91,2,0))</f>
        <v/>
      </c>
      <c r="AL91" t="str">
        <f t="shared" si="39"/>
        <v/>
      </c>
    </row>
    <row r="92" spans="1:38" x14ac:dyDescent="0.35">
      <c r="A92">
        <v>91</v>
      </c>
      <c r="B92" t="str">
        <f t="shared" si="20"/>
        <v/>
      </c>
      <c r="C92" s="111" t="str">
        <f t="shared" si="31"/>
        <v/>
      </c>
      <c r="D92" t="str">
        <f t="shared" si="21"/>
        <v/>
      </c>
      <c r="E92" s="3" t="str">
        <f t="shared" si="32"/>
        <v/>
      </c>
      <c r="F92" t="str">
        <f t="shared" si="33"/>
        <v/>
      </c>
      <c r="G92">
        <v>1</v>
      </c>
      <c r="H92" t="str">
        <f>Data!A95</f>
        <v>ZZZZZZ Suspend</v>
      </c>
      <c r="I92" s="2" t="str">
        <f>Data!C95</f>
        <v/>
      </c>
      <c r="J92" s="2" t="str">
        <f>Data!D95</f>
        <v/>
      </c>
      <c r="K92" s="2" t="str">
        <f>Data!E95</f>
        <v/>
      </c>
      <c r="L92" s="2" t="str">
        <f>IF(Data!$S$3&lt;Engine!L$1,0,Data!F95)</f>
        <v/>
      </c>
      <c r="M92" s="2" t="str">
        <f>IF(Data!$S$3&lt;Engine!M$1,0,Data!G95)</f>
        <v/>
      </c>
      <c r="N92" s="2" t="str">
        <f>IF(Data!$S$3&lt;Engine!N$1,0,Data!H95)</f>
        <v/>
      </c>
      <c r="O92" s="2" t="str">
        <f>IF(Data!$S$3&lt;Engine!O$1,0,Data!I95)</f>
        <v/>
      </c>
      <c r="P92" s="2" t="str">
        <f>IF(Data!$S$3&lt;Engine!P$1,0,Data!J95)</f>
        <v/>
      </c>
      <c r="Q92" s="11" t="str">
        <f>IF(Data!B95=1,Data!K95,"No Tips")</f>
        <v>No Tips</v>
      </c>
      <c r="R92" s="2" t="str">
        <f>Data!L95</f>
        <v/>
      </c>
      <c r="S92" s="2" t="str">
        <f>Data!M95</f>
        <v/>
      </c>
      <c r="T92" s="1" t="str">
        <f>IF(I92="","",COUNTIF('Live Ladder'!P:P,I92)+COUNTIF('Live Ladder'!P:P,J92)+COUNTIF('Live Ladder'!P:P,K92)+COUNTIF('Live Ladder'!P:P,L92)+COUNTIF('Live Ladder'!P:P,M92)+COUNTIF('Live Ladder'!P:P,N92)+COUNTIF('Live Ladder'!P:P,O92)+COUNTIF('Live Ladder'!P:P,P92))</f>
        <v/>
      </c>
      <c r="U92" s="1" t="str">
        <f>IF(I92="","",IF(COUNTIF('Live Ladder'!P:P,Engine!Q92)=1,2,IF(COUNTIF('Live Ladder'!Q:Q,Engine!Q92)=1,-2,0)))</f>
        <v/>
      </c>
      <c r="V92" s="1" t="str">
        <f>IF(I92="","",IF(T92=Data!S$3,2,0))</f>
        <v/>
      </c>
      <c r="W92" s="1">
        <f t="shared" si="34"/>
        <v>-2</v>
      </c>
      <c r="X92" s="1">
        <f>IF(I92="",AE$2,IF(I92='Live Ladder'!B$4,'Live Ladder'!C$4,'Live Ladder'!D$4)+IF(J92='Live Ladder'!B$5,'Live Ladder'!C$5,'Live Ladder'!D$5)+IF(K92='Live Ladder'!B$6,'Live Ladder'!C$6,'Live Ladder'!D$6)+IF(L92='Live Ladder'!B$7,'Live Ladder'!C$7,'Live Ladder'!D$7)+IF(M92='Live Ladder'!B$8,'Live Ladder'!C$8,'Live Ladder'!D$8)+IF(N92='Live Ladder'!B$9,'Live Ladder'!C$9,'Live Ladder'!D$9)+IF(O92='Live Ladder'!B$10,'Live Ladder'!C$10,'Live Ladder'!D$10)+IF(P92='Live Ladder'!B$11,'Live Ladder'!C$11,'Live Ladder'!D$11))</f>
        <v>18</v>
      </c>
      <c r="Y92" t="str">
        <f t="shared" si="35"/>
        <v/>
      </c>
      <c r="Z92" t="str">
        <f t="shared" si="36"/>
        <v/>
      </c>
      <c r="AA92" s="111" t="str">
        <f t="shared" si="37"/>
        <v/>
      </c>
      <c r="AB92">
        <f t="shared" si="38"/>
        <v>0</v>
      </c>
      <c r="AC92" t="str">
        <f>IF(I92="","",IF(I92='Live Ladder'!B$4,'Live Ladder'!C$4,'Live Ladder'!D$4)+IF(J92='Live Ladder'!B$5,'Live Ladder'!C$5,'Live Ladder'!D$5)+IF(K92='Live Ladder'!B$6,'Live Ladder'!C$6,'Live Ladder'!D$6)+IF(L92='Live Ladder'!B$7,'Live Ladder'!C$7,'Live Ladder'!D$7)+IF(M92='Live Ladder'!B$8,'Live Ladder'!C$8,'Live Ladder'!D$8)+IF(N92='Live Ladder'!B$9,'Live Ladder'!C$9,'Live Ladder'!D$9)+IF(O92='Live Ladder'!B$10,'Live Ladder'!C$10,'Live Ladder'!D$10)+IF(P92='Live Ladder'!B$11,'Live Ladder'!C$11,'Live Ladder'!D$11))</f>
        <v/>
      </c>
      <c r="AF92" t="str">
        <f>IF(I92="","",IF(Q92="",0,IF(AND(Q92&gt;0,COUNTIF('Stats Calculator'!$T$24:$AA$24,Q92)=1),HLOOKUP(Q92,'Stats Calculator'!$T$24:$AA$27,4,FALSE),IF(AND(Q92&gt;0,COUNTIF('Stats Calculator'!$T$25:$AA$25,Q92)=1),HLOOKUP(Q92,'Stats Calculator'!$T$25:$AA$27,3,FALSE)))))</f>
        <v/>
      </c>
      <c r="AG92" t="str">
        <f>IF(I92="","",COUNTIF(I92,'Stats Calculator'!E$31)+COUNTIF(J92,'Stats Calculator'!E$32)+COUNTIF(K92,'Stats Calculator'!E$33)+COUNTIF(L92,'Stats Calculator'!E$34)+COUNTIF(M92,'Stats Calculator'!E$35)+COUNTIF(N92,'Stats Calculator'!E$36)+COUNTIF(O92,'Stats Calculator'!E$37)+COUNTIF(P92,'Stats Calculator'!E$38)-8+Data!S$3)</f>
        <v/>
      </c>
      <c r="AH92" t="str">
        <f>IF(I92="","",IF(Q92="",0,IF(Q92=0,0,IF(VLOOKUP(Engine!AF92,'Stats Calculator'!B$31:E$38,4,FALSE)="",0,IF(VLOOKUP(Engine!AF92,'Stats Calculator'!B$31:E$38,4,FALSE)=Q92,2,-2)))))</f>
        <v/>
      </c>
      <c r="AI92" t="str">
        <f>IF(I92="","",Data!S$3-COUNTA('Stats Calculator'!E$31:E$38))</f>
        <v/>
      </c>
      <c r="AJ92" t="str">
        <f>IF(I92="","",IF(AF92=0,0,IF(VLOOKUP(AF92,'Stats Calculator'!B$31:E$38,4,FALSE)&gt;0,0,2)))</f>
        <v/>
      </c>
      <c r="AK92" t="str">
        <f>IF(I92="","",IF(Data!S$3-Engine!AI92=AG92,2,0))</f>
        <v/>
      </c>
      <c r="AL92" t="str">
        <f t="shared" si="39"/>
        <v/>
      </c>
    </row>
    <row r="93" spans="1:38" x14ac:dyDescent="0.35">
      <c r="A93">
        <v>92</v>
      </c>
      <c r="B93" t="str">
        <f t="shared" si="20"/>
        <v/>
      </c>
      <c r="C93" s="111" t="str">
        <f t="shared" ref="C93:C94" si="40">IF(H93="ZZZZZZ Suspend","",R93+(S93/100000)+(G93/1000000000))</f>
        <v/>
      </c>
      <c r="D93" t="str">
        <f t="shared" si="21"/>
        <v/>
      </c>
      <c r="E93" s="3" t="str">
        <f t="shared" ref="E93:E94" si="41">IF(H93="ZZZZZZ Suspend","",IF(D93&lt;B93,AD$3,IF(D93&gt;B93,AD$4,AD$5)))</f>
        <v/>
      </c>
      <c r="F93" t="str">
        <f t="shared" ref="F93:F94" si="42">IF(H93="ZZZZZZ Suspend","",IF(D93&gt;B93,D93-B93,IF(D93&lt;B93,B93-D93,"")))</f>
        <v/>
      </c>
      <c r="G93">
        <v>9</v>
      </c>
      <c r="H93" t="str">
        <f>Data!A87</f>
        <v>ZZZZZZ Suspend</v>
      </c>
      <c r="I93" s="2" t="str">
        <f>Data!C87</f>
        <v/>
      </c>
      <c r="J93" s="2" t="str">
        <f>Data!D87</f>
        <v/>
      </c>
      <c r="K93" s="2" t="str">
        <f>Data!E87</f>
        <v/>
      </c>
      <c r="L93" s="2" t="str">
        <f>IF(Data!$S$3&lt;Engine!L$1,0,Data!F87)</f>
        <v/>
      </c>
      <c r="M93" s="2" t="str">
        <f>IF(Data!$S$3&lt;Engine!M$1,0,Data!G87)</f>
        <v/>
      </c>
      <c r="N93" s="2" t="str">
        <f>IF(Data!$S$3&lt;Engine!N$1,0,Data!H87)</f>
        <v/>
      </c>
      <c r="O93" s="2" t="str">
        <f>IF(Data!$S$3&lt;Engine!O$1,0,Data!I87)</f>
        <v/>
      </c>
      <c r="P93" s="2" t="str">
        <f>IF(Data!$S$3&lt;Engine!P$1,0,Data!J87)</f>
        <v/>
      </c>
      <c r="Q93" s="11" t="str">
        <f>IF(Data!B87=1,Data!K87,"No Tips")</f>
        <v>No Tips</v>
      </c>
      <c r="R93" s="2" t="str">
        <f>Data!L87</f>
        <v/>
      </c>
      <c r="S93" s="2" t="str">
        <f>Data!M87</f>
        <v/>
      </c>
      <c r="T93" s="1" t="str">
        <f>IF(I93="","",COUNTIF('Live Ladder'!P:P,I93)+COUNTIF('Live Ladder'!P:P,J93)+COUNTIF('Live Ladder'!P:P,K93)+COUNTIF('Live Ladder'!P:P,L93)+COUNTIF('Live Ladder'!P:P,M93)+COUNTIF('Live Ladder'!P:P,N93)+COUNTIF('Live Ladder'!P:P,O93)+COUNTIF('Live Ladder'!P:P,P93))</f>
        <v/>
      </c>
      <c r="U93" s="1" t="str">
        <f>IF(I93="","",IF(COUNTIF('Live Ladder'!P:P,Engine!Q93)=1,2,IF(COUNTIF('Live Ladder'!Q:Q,Engine!Q93)=1,-2,0)))</f>
        <v/>
      </c>
      <c r="V93" s="1" t="str">
        <f>IF(I93="","",IF(T93=Data!S$3,2,0))</f>
        <v/>
      </c>
      <c r="W93" s="1">
        <f t="shared" ref="W93:W94" si="43">IF(I93="",AD$2,SUM(T93:V93))</f>
        <v>-2</v>
      </c>
      <c r="X93" s="1">
        <f>IF(I93="",AE$2,IF(I93='Live Ladder'!B$4,'Live Ladder'!C$4,'Live Ladder'!D$4)+IF(J93='Live Ladder'!B$5,'Live Ladder'!C$5,'Live Ladder'!D$5)+IF(K93='Live Ladder'!B$6,'Live Ladder'!C$6,'Live Ladder'!D$6)+IF(L93='Live Ladder'!B$7,'Live Ladder'!C$7,'Live Ladder'!D$7)+IF(M93='Live Ladder'!B$8,'Live Ladder'!C$8,'Live Ladder'!D$8)+IF(N93='Live Ladder'!B$9,'Live Ladder'!C$9,'Live Ladder'!D$9)+IF(O93='Live Ladder'!B$10,'Live Ladder'!C$10,'Live Ladder'!D$10)+IF(P93='Live Ladder'!B$11,'Live Ladder'!C$11,'Live Ladder'!D$11))</f>
        <v>18</v>
      </c>
      <c r="Y93" t="str">
        <f t="shared" ref="Y93:Y94" si="44">IF(H93="ZZZZZZ Suspend","",R93+W93)</f>
        <v/>
      </c>
      <c r="Z93" t="str">
        <f t="shared" ref="Z93:Z94" si="45">IF(H93="ZZZZZZ Suspend","",S93+X93)</f>
        <v/>
      </c>
      <c r="AA93" s="111" t="str">
        <f t="shared" ref="AA93:AA94" si="46">IF(H93="ZZZZZZ Suspend","",Y93+(Z93/100000)+(G93/1000000000))</f>
        <v/>
      </c>
      <c r="AB93">
        <f t="shared" ref="AB93:AB94" si="47">SUM(T93:V93)</f>
        <v>0</v>
      </c>
      <c r="AC93" t="str">
        <f>IF(I93="","",IF(I93='Live Ladder'!B$4,'Live Ladder'!C$4,'Live Ladder'!D$4)+IF(J93='Live Ladder'!B$5,'Live Ladder'!C$5,'Live Ladder'!D$5)+IF(K93='Live Ladder'!B$6,'Live Ladder'!C$6,'Live Ladder'!D$6)+IF(L93='Live Ladder'!B$7,'Live Ladder'!C$7,'Live Ladder'!D$7)+IF(M93='Live Ladder'!B$8,'Live Ladder'!C$8,'Live Ladder'!D$8)+IF(N93='Live Ladder'!B$9,'Live Ladder'!C$9,'Live Ladder'!D$9)+IF(O93='Live Ladder'!B$10,'Live Ladder'!C$10,'Live Ladder'!D$10)+IF(P93='Live Ladder'!B$11,'Live Ladder'!C$11,'Live Ladder'!D$11))</f>
        <v/>
      </c>
      <c r="AF93" t="str">
        <f>IF(I93="","",IF(Q93="",0,IF(AND(Q93&gt;0,COUNTIF('Stats Calculator'!$T$24:$AA$24,Q93)=1),HLOOKUP(Q93,'Stats Calculator'!$T$24:$AA$27,4,FALSE),IF(AND(Q93&gt;0,COUNTIF('Stats Calculator'!$T$25:$AA$25,Q93)=1),HLOOKUP(Q93,'Stats Calculator'!$T$25:$AA$27,3,FALSE)))))</f>
        <v/>
      </c>
      <c r="AG93" t="str">
        <f>IF(I93="","",COUNTIF(I93,'Stats Calculator'!E$31)+COUNTIF(J93,'Stats Calculator'!E$32)+COUNTIF(K93,'Stats Calculator'!E$33)+COUNTIF(L93,'Stats Calculator'!E$34)+COUNTIF(M93,'Stats Calculator'!E$35)+COUNTIF(N93,'Stats Calculator'!E$36)+COUNTIF(O93,'Stats Calculator'!E$37)+COUNTIF(P93,'Stats Calculator'!E$38)-8+Data!S$3)</f>
        <v/>
      </c>
      <c r="AH93" t="str">
        <f>IF(I93="","",IF(Q93="",0,IF(Q93=0,0,IF(VLOOKUP(Engine!AF93,'Stats Calculator'!B$31:E$38,4,FALSE)="",0,IF(VLOOKUP(Engine!AF93,'Stats Calculator'!B$31:E$38,4,FALSE)=Q93,2,-2)))))</f>
        <v/>
      </c>
      <c r="AI93" t="str">
        <f>IF(I93="","",Data!S$3-COUNTA('Stats Calculator'!E$31:E$38))</f>
        <v/>
      </c>
      <c r="AJ93" t="str">
        <f>IF(I93="","",IF(AF93=0,0,IF(VLOOKUP(AF93,'Stats Calculator'!B$31:E$38,4,FALSE)&gt;0,0,2)))</f>
        <v/>
      </c>
      <c r="AK93" t="str">
        <f>IF(I93="","",IF(Data!S$3-Engine!AI93=AG93,2,0))</f>
        <v/>
      </c>
      <c r="AL93" t="str">
        <f t="shared" ref="AL93:AL94" si="48">IF(I93="","",SUM(AG93:AK93))</f>
        <v/>
      </c>
    </row>
    <row r="94" spans="1:38" x14ac:dyDescent="0.35">
      <c r="A94">
        <v>93</v>
      </c>
      <c r="B94" t="str">
        <f t="shared" si="20"/>
        <v/>
      </c>
      <c r="C94" s="111" t="str">
        <f t="shared" si="40"/>
        <v/>
      </c>
      <c r="D94" t="str">
        <f t="shared" si="21"/>
        <v/>
      </c>
      <c r="E94" s="3" t="str">
        <f t="shared" si="41"/>
        <v/>
      </c>
      <c r="F94" t="str">
        <f t="shared" si="42"/>
        <v/>
      </c>
      <c r="G94">
        <v>5</v>
      </c>
      <c r="H94" t="str">
        <f>Data!A91</f>
        <v>ZZZZZZ Suspend</v>
      </c>
      <c r="I94" s="2" t="str">
        <f>Data!C91</f>
        <v/>
      </c>
      <c r="J94" s="2" t="str">
        <f>Data!D91</f>
        <v/>
      </c>
      <c r="K94" s="2" t="str">
        <f>Data!E91</f>
        <v/>
      </c>
      <c r="L94" s="2" t="str">
        <f>IF(Data!$S$3&lt;Engine!L$1,0,Data!F91)</f>
        <v/>
      </c>
      <c r="M94" s="2" t="str">
        <f>IF(Data!$S$3&lt;Engine!M$1,0,Data!G91)</f>
        <v/>
      </c>
      <c r="N94" s="2" t="str">
        <f>IF(Data!$S$3&lt;Engine!N$1,0,Data!H91)</f>
        <v/>
      </c>
      <c r="O94" s="2" t="str">
        <f>IF(Data!$S$3&lt;Engine!O$1,0,Data!I91)</f>
        <v/>
      </c>
      <c r="P94" s="2" t="str">
        <f>IF(Data!$S$3&lt;Engine!P$1,0,Data!J91)</f>
        <v/>
      </c>
      <c r="Q94" s="11" t="str">
        <f>IF(Data!B91=1,Data!K91,"No Tips")</f>
        <v>No Tips</v>
      </c>
      <c r="R94" s="2" t="str">
        <f>Data!L91</f>
        <v/>
      </c>
      <c r="S94" s="2" t="str">
        <f>Data!M91</f>
        <v/>
      </c>
      <c r="T94" s="1" t="str">
        <f>IF(I94="","",COUNTIF('Live Ladder'!P:P,I94)+COUNTIF('Live Ladder'!P:P,J94)+COUNTIF('Live Ladder'!P:P,K94)+COUNTIF('Live Ladder'!P:P,L94)+COUNTIF('Live Ladder'!P:P,M94)+COUNTIF('Live Ladder'!P:P,N94)+COUNTIF('Live Ladder'!P:P,O94)+COUNTIF('Live Ladder'!P:P,P94))</f>
        <v/>
      </c>
      <c r="U94" s="1" t="str">
        <f>IF(I94="","",IF(COUNTIF('Live Ladder'!P:P,Engine!Q94)=1,2,IF(COUNTIF('Live Ladder'!Q:Q,Engine!Q94)=1,-2,0)))</f>
        <v/>
      </c>
      <c r="V94" s="1" t="str">
        <f>IF(I94="","",IF(T94=Data!S$3,2,0))</f>
        <v/>
      </c>
      <c r="W94" s="1">
        <f t="shared" si="43"/>
        <v>-2</v>
      </c>
      <c r="X94" s="1">
        <f>IF(I94="",AE$2,IF(I94='Live Ladder'!B$4,'Live Ladder'!C$4,'Live Ladder'!D$4)+IF(J94='Live Ladder'!B$5,'Live Ladder'!C$5,'Live Ladder'!D$5)+IF(K94='Live Ladder'!B$6,'Live Ladder'!C$6,'Live Ladder'!D$6)+IF(L94='Live Ladder'!B$7,'Live Ladder'!C$7,'Live Ladder'!D$7)+IF(M94='Live Ladder'!B$8,'Live Ladder'!C$8,'Live Ladder'!D$8)+IF(N94='Live Ladder'!B$9,'Live Ladder'!C$9,'Live Ladder'!D$9)+IF(O94='Live Ladder'!B$10,'Live Ladder'!C$10,'Live Ladder'!D$10)+IF(P94='Live Ladder'!B$11,'Live Ladder'!C$11,'Live Ladder'!D$11))</f>
        <v>18</v>
      </c>
      <c r="Y94" t="str">
        <f t="shared" si="44"/>
        <v/>
      </c>
      <c r="Z94" t="str">
        <f t="shared" si="45"/>
        <v/>
      </c>
      <c r="AA94" s="111" t="str">
        <f t="shared" si="46"/>
        <v/>
      </c>
      <c r="AB94">
        <f t="shared" si="47"/>
        <v>0</v>
      </c>
      <c r="AC94" t="str">
        <f>IF(I94="","",IF(I94='Live Ladder'!B$4,'Live Ladder'!C$4,'Live Ladder'!D$4)+IF(J94='Live Ladder'!B$5,'Live Ladder'!C$5,'Live Ladder'!D$5)+IF(K94='Live Ladder'!B$6,'Live Ladder'!C$6,'Live Ladder'!D$6)+IF(L94='Live Ladder'!B$7,'Live Ladder'!C$7,'Live Ladder'!D$7)+IF(M94='Live Ladder'!B$8,'Live Ladder'!C$8,'Live Ladder'!D$8)+IF(N94='Live Ladder'!B$9,'Live Ladder'!C$9,'Live Ladder'!D$9)+IF(O94='Live Ladder'!B$10,'Live Ladder'!C$10,'Live Ladder'!D$10)+IF(P94='Live Ladder'!B$11,'Live Ladder'!C$11,'Live Ladder'!D$11))</f>
        <v/>
      </c>
      <c r="AF94" t="str">
        <f>IF(I94="","",IF(Q94="",0,IF(AND(Q94&gt;0,COUNTIF('Stats Calculator'!$T$24:$AA$24,Q94)=1),HLOOKUP(Q94,'Stats Calculator'!$T$24:$AA$27,4,FALSE),IF(AND(Q94&gt;0,COUNTIF('Stats Calculator'!$T$25:$AA$25,Q94)=1),HLOOKUP(Q94,'Stats Calculator'!$T$25:$AA$27,3,FALSE)))))</f>
        <v/>
      </c>
      <c r="AG94" t="str">
        <f>IF(I94="","",COUNTIF(I94,'Stats Calculator'!E$31)+COUNTIF(J94,'Stats Calculator'!E$32)+COUNTIF(K94,'Stats Calculator'!E$33)+COUNTIF(L94,'Stats Calculator'!E$34)+COUNTIF(M94,'Stats Calculator'!E$35)+COUNTIF(N94,'Stats Calculator'!E$36)+COUNTIF(O94,'Stats Calculator'!E$37)+COUNTIF(P94,'Stats Calculator'!E$38)-8+Data!S$3)</f>
        <v/>
      </c>
      <c r="AH94" t="str">
        <f>IF(I94="","",IF(Q94="",0,IF(Q94=0,0,IF(VLOOKUP(Engine!AF94,'Stats Calculator'!B$31:E$38,4,FALSE)="",0,IF(VLOOKUP(Engine!AF94,'Stats Calculator'!B$31:E$38,4,FALSE)=Q94,2,-2)))))</f>
        <v/>
      </c>
      <c r="AI94" t="str">
        <f>IF(I94="","",Data!S$3-COUNTA('Stats Calculator'!E$31:E$38))</f>
        <v/>
      </c>
      <c r="AJ94" t="str">
        <f>IF(I94="","",IF(AF94=0,0,IF(VLOOKUP(AF94,'Stats Calculator'!B$31:E$38,4,FALSE)&gt;0,0,2)))</f>
        <v/>
      </c>
      <c r="AK94" t="str">
        <f>IF(I94="","",IF(Data!S$3-Engine!AI94=AG94,2,0))</f>
        <v/>
      </c>
      <c r="AL94" t="str">
        <f t="shared" si="48"/>
        <v/>
      </c>
    </row>
    <row r="95" spans="1:38" x14ac:dyDescent="0.35">
      <c r="A95">
        <v>999</v>
      </c>
      <c r="B95">
        <f>RANK(C95,C:C)</f>
        <v>39</v>
      </c>
      <c r="C95" s="111">
        <f t="shared" si="22"/>
        <v>25.010860999000002</v>
      </c>
      <c r="D95">
        <f>RANK(AA95,AA:AA)</f>
        <v>44</v>
      </c>
      <c r="E95" s="3" t="str">
        <f>IF(H95="ZZZZZZ Suspend","",IF(D95&lt;B95,AD$3,IF(D95&gt;B95,AD$4,AD$5)))</f>
        <v>q</v>
      </c>
      <c r="F95">
        <f>IF(D95&gt;B95,D95-B95,IF(D95&lt;B95,B95-D95,""))</f>
        <v>5</v>
      </c>
      <c r="G95">
        <v>999</v>
      </c>
      <c r="H95" t="str">
        <f>Data!A96</f>
        <v>***Footy Tipper***</v>
      </c>
      <c r="I95" s="2" t="str">
        <f>Data!C96</f>
        <v>Sea Eagles</v>
      </c>
      <c r="J95" s="2" t="str">
        <f>Data!D96</f>
        <v>Bulldogs</v>
      </c>
      <c r="K95" s="2" t="str">
        <f>Data!E96</f>
        <v>Storm</v>
      </c>
      <c r="L95" s="2" t="str">
        <f>IF(Data!$S$3&lt;Engine!L$1,0,Data!F96)</f>
        <v>Broncos</v>
      </c>
      <c r="M95" s="2" t="str">
        <f>IF(Data!$S$3&lt;Engine!M$1,0,Data!G96)</f>
        <v>Panthers</v>
      </c>
      <c r="N95" s="2" t="str">
        <f>IF(Data!$S$3&lt;Engine!N$1,0,Data!H96)</f>
        <v>Raiders</v>
      </c>
      <c r="O95" s="2" t="str">
        <f>IF(Data!$S$3&lt;Engine!O$1,0,Data!I96)</f>
        <v>Sharks</v>
      </c>
      <c r="P95" s="2" t="str">
        <f>IF(Data!$S$3&lt;Engine!P$1,0,Data!J96)</f>
        <v>Wests Tigers</v>
      </c>
      <c r="Q95" s="2" t="str">
        <f>Data!K96</f>
        <v>Sea Eagles</v>
      </c>
      <c r="R95" s="2">
        <f>Data!L96</f>
        <v>25</v>
      </c>
      <c r="S95" s="2">
        <f>Data!M96</f>
        <v>1086</v>
      </c>
      <c r="T95" s="1">
        <f>IF(I95=AB95,AB$2,COUNTIF('Live Ladder'!P:P,I95)+COUNTIF('Live Ladder'!P:P,J95)+COUNTIF('Live Ladder'!P:P,K95)+COUNTIF('Live Ladder'!P:P,L95)+COUNTIF('Live Ladder'!P:P,M95)+COUNTIF('Live Ladder'!P:P,N95)+COUNTIF('Live Ladder'!P:P,O95)+COUNTIF('Live Ladder'!P:P,P95))</f>
        <v>0</v>
      </c>
      <c r="U95" s="1">
        <f>IF(COUNTIF('Live Ladder'!P:P,Engine!Q95)=1,2,IF(COUNTIF('Live Ladder'!Q:Q,Engine!Q95)=1,-2,0))</f>
        <v>-2</v>
      </c>
      <c r="V95" s="1">
        <f>IF(T95=Data!S$3,2,0)</f>
        <v>0</v>
      </c>
      <c r="X95" s="1">
        <f>IF(I95="",AE$2,IF(I95='Live Ladder'!B$4,'Live Ladder'!C$4,'Live Ladder'!D$4)+IF(J95='Live Ladder'!B$5,'Live Ladder'!C$5,'Live Ladder'!D$5)+IF(K95='Live Ladder'!B$6,'Live Ladder'!C$6,'Live Ladder'!D$6)+IF(L95='Live Ladder'!B$7,'Live Ladder'!C$7,'Live Ladder'!D$7)+IF(M95='Live Ladder'!B$8,'Live Ladder'!C$8,'Live Ladder'!D$8)+IF(N95='Live Ladder'!B$9,'Live Ladder'!C$9,'Live Ladder'!D$9)+IF(O95='Live Ladder'!B$10,'Live Ladder'!C$10,'Live Ladder'!D$10)+IF(P95='Live Ladder'!B$11,'Live Ladder'!C$11,'Live Ladder'!D$11))</f>
        <v>18</v>
      </c>
      <c r="Y95">
        <f>R95+SUM(T95:V95)</f>
        <v>23</v>
      </c>
      <c r="Z95">
        <f>S95+X95</f>
        <v>1104</v>
      </c>
      <c r="AA95" s="111">
        <f t="shared" si="27"/>
        <v>23.011040999000002</v>
      </c>
      <c r="AB95">
        <f>IF(I95="","",COUNTIF('Live Ladder'!P:P,I95)+COUNTIF('Live Ladder'!P:P,J95)+COUNTIF('Live Ladder'!P:P,K95)+COUNTIF('Live Ladder'!P:P,L95)+COUNTIF('Live Ladder'!P:P,M95)+COUNTIF('Live Ladder'!P:P,N95)+COUNTIF('Live Ladder'!P:P,O95)+COUNTIF('Live Ladder'!P:P,P95))</f>
        <v>0</v>
      </c>
      <c r="AC95">
        <f>IF(I95="","",IF(I95='Live Ladder'!B$4,'Live Ladder'!C$4,'Live Ladder'!D$4)+IF(J95='Live Ladder'!B$5,'Live Ladder'!C$5,'Live Ladder'!D$5)+IF(K95='Live Ladder'!B$6,'Live Ladder'!C$6,'Live Ladder'!D$6)+IF(L95='Live Ladder'!B$7,'Live Ladder'!C$7,'Live Ladder'!D$7)+IF(M95='Live Ladder'!B$8,'Live Ladder'!C$8,'Live Ladder'!D$8)+IF(N95='Live Ladder'!B$9,'Live Ladder'!C$9,'Live Ladder'!D$9)+IF(O95='Live Ladder'!B$10,'Live Ladder'!C$10,'Live Ladder'!D$10)+IF(P95='Live Ladder'!B$11,'Live Ladder'!C$11,'Live Ladder'!D$11))</f>
        <v>18</v>
      </c>
      <c r="AF95">
        <f>IF(I95="","",IF(Q95="",0,IF(AND(Q95&gt;0,COUNTIF('Stats Calculator'!$T$24:$AA$24,Q95)=1),HLOOKUP(Q95,'Stats Calculator'!$T$24:$AA$27,4,FALSE),IF(AND(Q95&gt;0,COUNTIF('Stats Calculator'!$T$25:$AA$25,Q95)=1),HLOOKUP(Q95,'Stats Calculator'!$T$25:$AA$27,3,FALSE)))))</f>
        <v>1</v>
      </c>
      <c r="AG95">
        <f>IF(I95="","",COUNTIF(I95,'Stats Calculator'!E$31)+COUNTIF(J95,'Stats Calculator'!E$32)+COUNTIF(K95,'Stats Calculator'!E$33)+COUNTIF(L95,'Stats Calculator'!E$34)+COUNTIF(M95,'Stats Calculator'!E$35)+COUNTIF(N95,'Stats Calculator'!E$36)+COUNTIF(O95,'Stats Calculator'!E$37)+COUNTIF(P95,'Stats Calculator'!E$38)-8+Data!S$3)</f>
        <v>0</v>
      </c>
      <c r="AH95">
        <f>IF(I95="","",IF(Q95="",0,IF(Q95=0,0,IF(VLOOKUP(Engine!AF95,'Stats Calculator'!B$31:E$38,4,FALSE)="",0,IF(VLOOKUP(Engine!AF95,'Stats Calculator'!B$31:E$38,4,FALSE)=Q95,2,-2)))))</f>
        <v>-2</v>
      </c>
      <c r="AI95">
        <f>IF(I95="","",Data!S$3-COUNTA('Stats Calculator'!E$31:E$38))</f>
        <v>7</v>
      </c>
      <c r="AJ95">
        <f>IF(I95="","",IF(AF95=0,0,IF(VLOOKUP(AF95,'Stats Calculator'!B$31:E$38,4,FALSE)&gt;0,0,2)))</f>
        <v>0</v>
      </c>
      <c r="AK95">
        <f>IF(I95="","",IF(Data!S$3-Engine!AI95=AG95,2,0))</f>
        <v>0</v>
      </c>
      <c r="AL95">
        <f t="shared" ref="AL95" si="49">IF(I95="","",SUM(AG95:AK95))</f>
        <v>5</v>
      </c>
    </row>
    <row r="97" spans="3:3" x14ac:dyDescent="0.35">
      <c r="C97" s="111" t="s">
        <v>62</v>
      </c>
    </row>
  </sheetData>
  <autoFilter ref="B1:AD95" xr:uid="{00000000-0009-0000-0000-000002000000}"/>
  <sortState xmlns:xlrd2="http://schemas.microsoft.com/office/spreadsheetml/2017/richdata2" ref="G2:S94">
    <sortCondition ref="H2:H94"/>
  </sortState>
  <conditionalFormatting sqref="I2:Q94">
    <cfRule type="cellIs" dxfId="8" priority="61" stopIfTrue="1" operator="equal">
      <formula>$Y$10</formula>
    </cfRule>
    <cfRule type="cellIs" dxfId="7" priority="62" stopIfTrue="1" operator="equal">
      <formula>$Y$11</formula>
    </cfRule>
    <cfRule type="cellIs" dxfId="6" priority="63" stopIfTrue="1" operator="equal">
      <formula>"ERROR"</formula>
    </cfRule>
  </conditionalFormatting>
  <conditionalFormatting sqref="I95:S95">
    <cfRule type="cellIs" dxfId="5" priority="1" stopIfTrue="1" operator="equal">
      <formula>$Y$10</formula>
    </cfRule>
    <cfRule type="cellIs" dxfId="4" priority="2" stopIfTrue="1" operator="equal">
      <formula>$Y$11</formula>
    </cfRule>
    <cfRule type="cellIs" dxfId="3" priority="3" stopIfTrue="1" operator="equal">
      <formula>"ERROR"</formula>
    </cfRule>
  </conditionalFormatting>
  <conditionalFormatting sqref="S2:S94">
    <cfRule type="cellIs" dxfId="2" priority="79" stopIfTrue="1" operator="equal">
      <formula>$Y$10</formula>
    </cfRule>
    <cfRule type="cellIs" dxfId="1" priority="80" stopIfTrue="1" operator="equal">
      <formula>$Y$11</formula>
    </cfRule>
    <cfRule type="cellIs" dxfId="0" priority="81" stopIfTrue="1" operator="equal">
      <formula>"ERROR"</formula>
    </cfRule>
  </conditionalFormatting>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66FF0E-4408-4DFF-AE91-F9CD4606DB7D}">
  <dimension ref="B1:K59"/>
  <sheetViews>
    <sheetView showGridLines="0" workbookViewId="0">
      <selection activeCell="C4" sqref="C4"/>
    </sheetView>
  </sheetViews>
  <sheetFormatPr defaultRowHeight="14.5" x14ac:dyDescent="0.35"/>
  <cols>
    <col min="1" max="1" width="1.1796875" style="126" customWidth="1"/>
    <col min="2" max="2" width="21.54296875" style="126" bestFit="1" customWidth="1"/>
    <col min="3" max="11" width="11.36328125" style="126" customWidth="1"/>
    <col min="12" max="16384" width="8.7265625" style="126"/>
  </cols>
  <sheetData>
    <row r="1" spans="2:11" s="61" customFormat="1" ht="104.5" customHeight="1" x14ac:dyDescent="0.5">
      <c r="E1" s="148" t="s">
        <v>214</v>
      </c>
      <c r="F1" s="148"/>
      <c r="G1" s="148"/>
    </row>
    <row r="4" spans="2:11" x14ac:dyDescent="0.35">
      <c r="B4" s="123" t="s">
        <v>69</v>
      </c>
      <c r="C4" s="123" t="s">
        <v>204</v>
      </c>
      <c r="D4" s="123" t="s">
        <v>205</v>
      </c>
      <c r="E4" s="123" t="s">
        <v>206</v>
      </c>
      <c r="F4" s="123" t="s">
        <v>207</v>
      </c>
      <c r="G4" s="123" t="s">
        <v>208</v>
      </c>
      <c r="H4" s="123" t="s">
        <v>209</v>
      </c>
      <c r="I4" s="123" t="s">
        <v>210</v>
      </c>
      <c r="J4" s="123" t="s">
        <v>211</v>
      </c>
      <c r="K4" s="123" t="s">
        <v>20</v>
      </c>
    </row>
    <row r="5" spans="2:11" x14ac:dyDescent="0.35">
      <c r="B5" s="124" t="s">
        <v>150</v>
      </c>
      <c r="C5" s="124" t="s">
        <v>126</v>
      </c>
      <c r="D5" s="124" t="s">
        <v>131</v>
      </c>
      <c r="E5" s="124" t="s">
        <v>125</v>
      </c>
      <c r="F5" s="124" t="s">
        <v>124</v>
      </c>
      <c r="G5" s="124" t="s">
        <v>121</v>
      </c>
      <c r="H5" s="124" t="s">
        <v>129</v>
      </c>
      <c r="I5" s="124" t="s">
        <v>123</v>
      </c>
      <c r="J5" s="124" t="s">
        <v>132</v>
      </c>
      <c r="K5" s="124" t="s">
        <v>125</v>
      </c>
    </row>
    <row r="6" spans="2:11" x14ac:dyDescent="0.35">
      <c r="B6" s="125" t="s">
        <v>151</v>
      </c>
      <c r="C6" s="125" t="s">
        <v>126</v>
      </c>
      <c r="D6" s="125" t="s">
        <v>131</v>
      </c>
      <c r="E6" s="125" t="s">
        <v>125</v>
      </c>
      <c r="F6" s="125" t="s">
        <v>130</v>
      </c>
      <c r="G6" s="125" t="s">
        <v>147</v>
      </c>
      <c r="H6" s="125" t="s">
        <v>129</v>
      </c>
      <c r="I6" s="125" t="s">
        <v>123</v>
      </c>
      <c r="J6" s="125" t="s">
        <v>132</v>
      </c>
      <c r="K6" s="125" t="s">
        <v>131</v>
      </c>
    </row>
    <row r="7" spans="2:11" x14ac:dyDescent="0.35">
      <c r="B7" s="124" t="s">
        <v>152</v>
      </c>
      <c r="C7" s="124" t="s">
        <v>126</v>
      </c>
      <c r="D7" s="124" t="s">
        <v>131</v>
      </c>
      <c r="E7" s="124" t="s">
        <v>125</v>
      </c>
      <c r="F7" s="124" t="s">
        <v>124</v>
      </c>
      <c r="G7" s="124" t="s">
        <v>121</v>
      </c>
      <c r="H7" s="124" t="s">
        <v>219</v>
      </c>
      <c r="I7" s="124" t="s">
        <v>123</v>
      </c>
      <c r="J7" s="124" t="s">
        <v>132</v>
      </c>
      <c r="K7" s="124" t="s">
        <v>125</v>
      </c>
    </row>
    <row r="8" spans="2:11" x14ac:dyDescent="0.35">
      <c r="B8" s="125" t="s">
        <v>153</v>
      </c>
      <c r="C8" s="125" t="s">
        <v>126</v>
      </c>
      <c r="D8" s="125" t="s">
        <v>131</v>
      </c>
      <c r="E8" s="125" t="s">
        <v>125</v>
      </c>
      <c r="F8" s="125" t="s">
        <v>124</v>
      </c>
      <c r="G8" s="125" t="s">
        <v>121</v>
      </c>
      <c r="H8" s="125" t="s">
        <v>219</v>
      </c>
      <c r="I8" s="125" t="s">
        <v>223</v>
      </c>
      <c r="J8" s="125" t="s">
        <v>132</v>
      </c>
      <c r="K8" s="125" t="s">
        <v>125</v>
      </c>
    </row>
    <row r="9" spans="2:11" x14ac:dyDescent="0.35">
      <c r="B9" s="124" t="s">
        <v>154</v>
      </c>
      <c r="C9" s="124" t="s">
        <v>126</v>
      </c>
      <c r="D9" s="124" t="s">
        <v>131</v>
      </c>
      <c r="E9" s="124" t="s">
        <v>125</v>
      </c>
      <c r="F9" s="124" t="s">
        <v>124</v>
      </c>
      <c r="G9" s="124" t="s">
        <v>121</v>
      </c>
      <c r="H9" s="124" t="s">
        <v>129</v>
      </c>
      <c r="I9" s="124" t="s">
        <v>123</v>
      </c>
      <c r="J9" s="124" t="s">
        <v>132</v>
      </c>
      <c r="K9" s="124" t="s">
        <v>126</v>
      </c>
    </row>
    <row r="10" spans="2:11" x14ac:dyDescent="0.35">
      <c r="B10" s="125" t="s">
        <v>155</v>
      </c>
      <c r="C10" s="125" t="s">
        <v>126</v>
      </c>
      <c r="D10" s="125" t="s">
        <v>131</v>
      </c>
      <c r="E10" s="125" t="s">
        <v>125</v>
      </c>
      <c r="F10" s="125" t="s">
        <v>124</v>
      </c>
      <c r="G10" s="125" t="s">
        <v>147</v>
      </c>
      <c r="H10" s="125" t="s">
        <v>219</v>
      </c>
      <c r="I10" s="125" t="s">
        <v>123</v>
      </c>
      <c r="J10" s="125" t="s">
        <v>132</v>
      </c>
      <c r="K10" s="125" t="s">
        <v>131</v>
      </c>
    </row>
    <row r="11" spans="2:11" x14ac:dyDescent="0.35">
      <c r="B11" s="124" t="s">
        <v>156</v>
      </c>
      <c r="C11" s="124" t="s">
        <v>126</v>
      </c>
      <c r="D11" s="124" t="s">
        <v>131</v>
      </c>
      <c r="E11" s="124" t="s">
        <v>125</v>
      </c>
      <c r="F11" s="124" t="s">
        <v>124</v>
      </c>
      <c r="G11" s="124" t="s">
        <v>121</v>
      </c>
      <c r="H11" s="124" t="s">
        <v>129</v>
      </c>
      <c r="I11" s="124" t="s">
        <v>123</v>
      </c>
      <c r="J11" s="124" t="s">
        <v>132</v>
      </c>
      <c r="K11" s="124" t="s">
        <v>125</v>
      </c>
    </row>
    <row r="12" spans="2:11" x14ac:dyDescent="0.35">
      <c r="B12" s="125" t="s">
        <v>157</v>
      </c>
      <c r="C12" s="125" t="s">
        <v>126</v>
      </c>
      <c r="D12" s="125" t="s">
        <v>131</v>
      </c>
      <c r="E12" s="125" t="s">
        <v>221</v>
      </c>
      <c r="F12" s="125" t="s">
        <v>124</v>
      </c>
      <c r="G12" s="125" t="s">
        <v>121</v>
      </c>
      <c r="H12" s="125" t="s">
        <v>129</v>
      </c>
      <c r="I12" s="125" t="s">
        <v>123</v>
      </c>
      <c r="J12" s="125" t="s">
        <v>132</v>
      </c>
      <c r="K12" s="125" t="s">
        <v>131</v>
      </c>
    </row>
    <row r="13" spans="2:11" x14ac:dyDescent="0.35">
      <c r="B13" s="124" t="s">
        <v>158</v>
      </c>
      <c r="C13" s="124" t="s">
        <v>122</v>
      </c>
      <c r="D13" s="124" t="s">
        <v>131</v>
      </c>
      <c r="E13" s="124" t="s">
        <v>125</v>
      </c>
      <c r="F13" s="124" t="s">
        <v>130</v>
      </c>
      <c r="G13" s="124" t="s">
        <v>147</v>
      </c>
      <c r="H13" s="124" t="s">
        <v>129</v>
      </c>
      <c r="I13" s="124" t="s">
        <v>123</v>
      </c>
      <c r="J13" s="124" t="s">
        <v>146</v>
      </c>
      <c r="K13" s="124" t="s">
        <v>125</v>
      </c>
    </row>
    <row r="14" spans="2:11" x14ac:dyDescent="0.35">
      <c r="B14" s="125" t="s">
        <v>159</v>
      </c>
      <c r="C14" s="125" t="s">
        <v>122</v>
      </c>
      <c r="D14" s="125" t="s">
        <v>131</v>
      </c>
      <c r="E14" s="125" t="s">
        <v>125</v>
      </c>
      <c r="F14" s="125" t="s">
        <v>124</v>
      </c>
      <c r="G14" s="125" t="s">
        <v>121</v>
      </c>
      <c r="H14" s="125" t="s">
        <v>129</v>
      </c>
      <c r="I14" s="125" t="s">
        <v>123</v>
      </c>
      <c r="J14" s="125" t="s">
        <v>132</v>
      </c>
      <c r="K14" s="125" t="s">
        <v>125</v>
      </c>
    </row>
    <row r="15" spans="2:11" x14ac:dyDescent="0.35">
      <c r="B15" s="124" t="s">
        <v>160</v>
      </c>
      <c r="C15" s="124" t="s">
        <v>126</v>
      </c>
      <c r="D15" s="124" t="s">
        <v>131</v>
      </c>
      <c r="E15" s="124" t="s">
        <v>125</v>
      </c>
      <c r="F15" s="124" t="s">
        <v>130</v>
      </c>
      <c r="G15" s="124" t="s">
        <v>147</v>
      </c>
      <c r="H15" s="124" t="s">
        <v>129</v>
      </c>
      <c r="I15" s="124" t="s">
        <v>123</v>
      </c>
      <c r="J15" s="124" t="s">
        <v>132</v>
      </c>
      <c r="K15" s="124" t="s">
        <v>131</v>
      </c>
    </row>
    <row r="16" spans="2:11" x14ac:dyDescent="0.35">
      <c r="B16" s="125" t="s">
        <v>161</v>
      </c>
      <c r="C16" s="125" t="s">
        <v>122</v>
      </c>
      <c r="D16" s="125" t="s">
        <v>131</v>
      </c>
      <c r="E16" s="125" t="s">
        <v>125</v>
      </c>
      <c r="F16" s="125" t="s">
        <v>124</v>
      </c>
      <c r="G16" s="125" t="s">
        <v>121</v>
      </c>
      <c r="H16" s="125" t="s">
        <v>129</v>
      </c>
      <c r="I16" s="125" t="s">
        <v>123</v>
      </c>
      <c r="J16" s="125" t="s">
        <v>146</v>
      </c>
      <c r="K16" s="125" t="s">
        <v>125</v>
      </c>
    </row>
    <row r="17" spans="2:11" x14ac:dyDescent="0.35">
      <c r="B17" s="124" t="s">
        <v>162</v>
      </c>
      <c r="C17" s="124" t="s">
        <v>122</v>
      </c>
      <c r="D17" s="124" t="s">
        <v>131</v>
      </c>
      <c r="E17" s="124" t="s">
        <v>125</v>
      </c>
      <c r="F17" s="124" t="s">
        <v>124</v>
      </c>
      <c r="G17" s="124" t="s">
        <v>147</v>
      </c>
      <c r="H17" s="124" t="s">
        <v>129</v>
      </c>
      <c r="I17" s="124" t="s">
        <v>123</v>
      </c>
      <c r="J17" s="124" t="s">
        <v>132</v>
      </c>
      <c r="K17" s="124" t="s">
        <v>131</v>
      </c>
    </row>
    <row r="18" spans="2:11" x14ac:dyDescent="0.35">
      <c r="B18" s="125" t="s">
        <v>163</v>
      </c>
      <c r="C18" s="125" t="s">
        <v>126</v>
      </c>
      <c r="D18" s="125" t="s">
        <v>131</v>
      </c>
      <c r="E18" s="125" t="s">
        <v>125</v>
      </c>
      <c r="F18" s="125" t="s">
        <v>124</v>
      </c>
      <c r="G18" s="125" t="s">
        <v>121</v>
      </c>
      <c r="H18" s="125" t="s">
        <v>219</v>
      </c>
      <c r="I18" s="125" t="s">
        <v>123</v>
      </c>
      <c r="J18" s="125" t="s">
        <v>132</v>
      </c>
      <c r="K18" s="125" t="s">
        <v>131</v>
      </c>
    </row>
    <row r="19" spans="2:11" x14ac:dyDescent="0.35">
      <c r="B19" s="124" t="s">
        <v>164</v>
      </c>
      <c r="C19" s="124" t="s">
        <v>122</v>
      </c>
      <c r="D19" s="124" t="s">
        <v>131</v>
      </c>
      <c r="E19" s="124" t="s">
        <v>125</v>
      </c>
      <c r="F19" s="124" t="s">
        <v>124</v>
      </c>
      <c r="G19" s="124" t="s">
        <v>147</v>
      </c>
      <c r="H19" s="124" t="s">
        <v>129</v>
      </c>
      <c r="I19" s="124" t="s">
        <v>123</v>
      </c>
      <c r="J19" s="124" t="s">
        <v>132</v>
      </c>
      <c r="K19" s="124" t="s">
        <v>125</v>
      </c>
    </row>
    <row r="20" spans="2:11" x14ac:dyDescent="0.35">
      <c r="B20" s="125" t="s">
        <v>165</v>
      </c>
      <c r="C20" s="125" t="s">
        <v>126</v>
      </c>
      <c r="D20" s="125" t="s">
        <v>131</v>
      </c>
      <c r="E20" s="125" t="s">
        <v>125</v>
      </c>
      <c r="F20" s="125" t="s">
        <v>124</v>
      </c>
      <c r="G20" s="125" t="s">
        <v>121</v>
      </c>
      <c r="H20" s="125" t="s">
        <v>219</v>
      </c>
      <c r="I20" s="125" t="s">
        <v>123</v>
      </c>
      <c r="J20" s="125" t="s">
        <v>132</v>
      </c>
      <c r="K20" s="125" t="s">
        <v>125</v>
      </c>
    </row>
    <row r="21" spans="2:11" x14ac:dyDescent="0.35">
      <c r="B21" s="124" t="s">
        <v>166</v>
      </c>
      <c r="C21" s="124" t="s">
        <v>126</v>
      </c>
      <c r="D21" s="124" t="s">
        <v>127</v>
      </c>
      <c r="E21" s="124" t="s">
        <v>125</v>
      </c>
      <c r="F21" s="124" t="s">
        <v>124</v>
      </c>
      <c r="G21" s="124" t="s">
        <v>147</v>
      </c>
      <c r="H21" s="124" t="s">
        <v>129</v>
      </c>
      <c r="I21" s="124" t="s">
        <v>123</v>
      </c>
      <c r="J21" s="124" t="s">
        <v>132</v>
      </c>
      <c r="K21" s="124" t="s">
        <v>125</v>
      </c>
    </row>
    <row r="22" spans="2:11" x14ac:dyDescent="0.35">
      <c r="B22" s="125" t="s">
        <v>167</v>
      </c>
      <c r="C22" s="125" t="s">
        <v>122</v>
      </c>
      <c r="D22" s="125" t="s">
        <v>131</v>
      </c>
      <c r="E22" s="125" t="s">
        <v>125</v>
      </c>
      <c r="F22" s="125" t="s">
        <v>124</v>
      </c>
      <c r="G22" s="125" t="s">
        <v>121</v>
      </c>
      <c r="H22" s="125" t="s">
        <v>129</v>
      </c>
      <c r="I22" s="125" t="s">
        <v>123</v>
      </c>
      <c r="J22" s="125" t="s">
        <v>146</v>
      </c>
      <c r="K22" s="125" t="s">
        <v>124</v>
      </c>
    </row>
    <row r="23" spans="2:11" x14ac:dyDescent="0.35">
      <c r="B23" s="124" t="s">
        <v>168</v>
      </c>
      <c r="C23" s="124" t="s">
        <v>126</v>
      </c>
      <c r="D23" s="124" t="s">
        <v>131</v>
      </c>
      <c r="E23" s="124" t="s">
        <v>125</v>
      </c>
      <c r="F23" s="124" t="s">
        <v>124</v>
      </c>
      <c r="G23" s="124" t="s">
        <v>147</v>
      </c>
      <c r="H23" s="124" t="s">
        <v>129</v>
      </c>
      <c r="I23" s="124" t="s">
        <v>123</v>
      </c>
      <c r="J23" s="124" t="s">
        <v>132</v>
      </c>
      <c r="K23" s="124" t="s">
        <v>125</v>
      </c>
    </row>
    <row r="24" spans="2:11" x14ac:dyDescent="0.35">
      <c r="B24" s="125" t="s">
        <v>169</v>
      </c>
      <c r="C24" s="125" t="s">
        <v>126</v>
      </c>
      <c r="D24" s="125" t="s">
        <v>131</v>
      </c>
      <c r="E24" s="125" t="s">
        <v>125</v>
      </c>
      <c r="F24" s="125" t="s">
        <v>124</v>
      </c>
      <c r="G24" s="125" t="s">
        <v>121</v>
      </c>
      <c r="H24" s="125" t="s">
        <v>129</v>
      </c>
      <c r="I24" s="125" t="s">
        <v>123</v>
      </c>
      <c r="J24" s="125" t="s">
        <v>132</v>
      </c>
      <c r="K24" s="125" t="s">
        <v>125</v>
      </c>
    </row>
    <row r="25" spans="2:11" x14ac:dyDescent="0.35">
      <c r="B25" s="124" t="s">
        <v>170</v>
      </c>
      <c r="C25" s="124" t="s">
        <v>122</v>
      </c>
      <c r="D25" s="124" t="s">
        <v>131</v>
      </c>
      <c r="E25" s="124" t="s">
        <v>125</v>
      </c>
      <c r="F25" s="124" t="s">
        <v>130</v>
      </c>
      <c r="G25" s="124" t="s">
        <v>121</v>
      </c>
      <c r="H25" s="124" t="s">
        <v>219</v>
      </c>
      <c r="I25" s="124" t="s">
        <v>123</v>
      </c>
      <c r="J25" s="124" t="s">
        <v>146</v>
      </c>
      <c r="K25" s="124" t="s">
        <v>122</v>
      </c>
    </row>
    <row r="26" spans="2:11" x14ac:dyDescent="0.35">
      <c r="B26" s="125" t="s">
        <v>171</v>
      </c>
      <c r="C26" s="125" t="s">
        <v>126</v>
      </c>
      <c r="D26" s="125" t="s">
        <v>131</v>
      </c>
      <c r="E26" s="125" t="s">
        <v>125</v>
      </c>
      <c r="F26" s="125" t="s">
        <v>124</v>
      </c>
      <c r="G26" s="125" t="s">
        <v>121</v>
      </c>
      <c r="H26" s="125" t="s">
        <v>129</v>
      </c>
      <c r="I26" s="125" t="s">
        <v>123</v>
      </c>
      <c r="J26" s="125" t="s">
        <v>132</v>
      </c>
      <c r="K26" s="125" t="s">
        <v>125</v>
      </c>
    </row>
    <row r="27" spans="2:11" x14ac:dyDescent="0.35">
      <c r="B27" s="124" t="s">
        <v>172</v>
      </c>
      <c r="C27" s="124" t="s">
        <v>122</v>
      </c>
      <c r="D27" s="124" t="s">
        <v>131</v>
      </c>
      <c r="E27" s="124" t="s">
        <v>125</v>
      </c>
      <c r="F27" s="124" t="s">
        <v>124</v>
      </c>
      <c r="G27" s="124" t="s">
        <v>121</v>
      </c>
      <c r="H27" s="124" t="s">
        <v>129</v>
      </c>
      <c r="I27" s="124" t="s">
        <v>123</v>
      </c>
      <c r="J27" s="124" t="s">
        <v>132</v>
      </c>
      <c r="K27" s="124" t="s">
        <v>131</v>
      </c>
    </row>
    <row r="28" spans="2:11" x14ac:dyDescent="0.35">
      <c r="B28" s="125" t="s">
        <v>173</v>
      </c>
      <c r="C28" s="125" t="s">
        <v>126</v>
      </c>
      <c r="D28" s="125" t="s">
        <v>131</v>
      </c>
      <c r="E28" s="125" t="s">
        <v>125</v>
      </c>
      <c r="F28" s="125" t="s">
        <v>124</v>
      </c>
      <c r="G28" s="125" t="s">
        <v>121</v>
      </c>
      <c r="H28" s="125" t="s">
        <v>129</v>
      </c>
      <c r="I28" s="125" t="s">
        <v>123</v>
      </c>
      <c r="J28" s="125" t="s">
        <v>132</v>
      </c>
      <c r="K28" s="125" t="s">
        <v>125</v>
      </c>
    </row>
    <row r="29" spans="2:11" x14ac:dyDescent="0.35">
      <c r="B29" s="124" t="s">
        <v>174</v>
      </c>
      <c r="C29" s="124" t="s">
        <v>126</v>
      </c>
      <c r="D29" s="124" t="s">
        <v>127</v>
      </c>
      <c r="E29" s="124" t="s">
        <v>125</v>
      </c>
      <c r="F29" s="124" t="s">
        <v>124</v>
      </c>
      <c r="G29" s="124" t="s">
        <v>147</v>
      </c>
      <c r="H29" s="124" t="s">
        <v>219</v>
      </c>
      <c r="I29" s="124" t="s">
        <v>123</v>
      </c>
      <c r="J29" s="124" t="s">
        <v>132</v>
      </c>
      <c r="K29" s="124" t="s">
        <v>132</v>
      </c>
    </row>
    <row r="30" spans="2:11" x14ac:dyDescent="0.35">
      <c r="B30" s="125" t="s">
        <v>175</v>
      </c>
      <c r="C30" s="125" t="s">
        <v>126</v>
      </c>
      <c r="D30" s="125" t="s">
        <v>131</v>
      </c>
      <c r="E30" s="125" t="s">
        <v>125</v>
      </c>
      <c r="F30" s="125" t="s">
        <v>124</v>
      </c>
      <c r="G30" s="125" t="s">
        <v>121</v>
      </c>
      <c r="H30" s="125" t="s">
        <v>129</v>
      </c>
      <c r="I30" s="125" t="s">
        <v>123</v>
      </c>
      <c r="J30" s="125" t="s">
        <v>146</v>
      </c>
      <c r="K30" s="125" t="s">
        <v>125</v>
      </c>
    </row>
    <row r="31" spans="2:11" x14ac:dyDescent="0.35">
      <c r="B31" s="124" t="s">
        <v>176</v>
      </c>
      <c r="C31" s="124" t="s">
        <v>126</v>
      </c>
      <c r="D31" s="124" t="s">
        <v>131</v>
      </c>
      <c r="E31" s="124" t="s">
        <v>125</v>
      </c>
      <c r="F31" s="124" t="s">
        <v>124</v>
      </c>
      <c r="G31" s="124" t="s">
        <v>121</v>
      </c>
      <c r="H31" s="124" t="s">
        <v>219</v>
      </c>
      <c r="I31" s="124" t="s">
        <v>123</v>
      </c>
      <c r="J31" s="124" t="s">
        <v>132</v>
      </c>
      <c r="K31" s="124" t="s">
        <v>131</v>
      </c>
    </row>
    <row r="32" spans="2:11" x14ac:dyDescent="0.35">
      <c r="B32" s="125" t="s">
        <v>177</v>
      </c>
      <c r="C32" s="125" t="s">
        <v>126</v>
      </c>
      <c r="D32" s="125" t="s">
        <v>131</v>
      </c>
      <c r="E32" s="125" t="s">
        <v>125</v>
      </c>
      <c r="F32" s="125" t="s">
        <v>124</v>
      </c>
      <c r="G32" s="125" t="s">
        <v>147</v>
      </c>
      <c r="H32" s="125" t="s">
        <v>129</v>
      </c>
      <c r="I32" s="125" t="s">
        <v>123</v>
      </c>
      <c r="J32" s="125" t="s">
        <v>132</v>
      </c>
      <c r="K32" s="125" t="s">
        <v>124</v>
      </c>
    </row>
    <row r="33" spans="2:11" x14ac:dyDescent="0.35">
      <c r="B33" s="124" t="s">
        <v>178</v>
      </c>
      <c r="C33" s="124" t="s">
        <v>84</v>
      </c>
      <c r="D33" s="124" t="s">
        <v>84</v>
      </c>
      <c r="E33" s="124" t="s">
        <v>84</v>
      </c>
      <c r="F33" s="124" t="s">
        <v>84</v>
      </c>
      <c r="G33" s="124" t="s">
        <v>84</v>
      </c>
      <c r="H33" s="124" t="s">
        <v>84</v>
      </c>
      <c r="I33" s="124" t="s">
        <v>84</v>
      </c>
      <c r="J33" s="124" t="s">
        <v>84</v>
      </c>
      <c r="K33" s="124" t="s">
        <v>233</v>
      </c>
    </row>
    <row r="34" spans="2:11" x14ac:dyDescent="0.35">
      <c r="B34" s="125" t="s">
        <v>179</v>
      </c>
      <c r="C34" s="125" t="s">
        <v>126</v>
      </c>
      <c r="D34" s="125" t="s">
        <v>131</v>
      </c>
      <c r="E34" s="125" t="s">
        <v>125</v>
      </c>
      <c r="F34" s="125" t="s">
        <v>124</v>
      </c>
      <c r="G34" s="125" t="s">
        <v>147</v>
      </c>
      <c r="H34" s="125" t="s">
        <v>129</v>
      </c>
      <c r="I34" s="125" t="s">
        <v>123</v>
      </c>
      <c r="J34" s="125" t="s">
        <v>146</v>
      </c>
      <c r="K34" s="125" t="s">
        <v>125</v>
      </c>
    </row>
    <row r="35" spans="2:11" x14ac:dyDescent="0.35">
      <c r="B35" s="124" t="s">
        <v>180</v>
      </c>
      <c r="C35" s="124" t="s">
        <v>126</v>
      </c>
      <c r="D35" s="124" t="s">
        <v>131</v>
      </c>
      <c r="E35" s="124" t="s">
        <v>125</v>
      </c>
      <c r="F35" s="124" t="s">
        <v>124</v>
      </c>
      <c r="G35" s="124" t="s">
        <v>121</v>
      </c>
      <c r="H35" s="124" t="s">
        <v>129</v>
      </c>
      <c r="I35" s="124" t="s">
        <v>123</v>
      </c>
      <c r="J35" s="124" t="s">
        <v>146</v>
      </c>
      <c r="K35" s="124" t="s">
        <v>125</v>
      </c>
    </row>
    <row r="36" spans="2:11" x14ac:dyDescent="0.35">
      <c r="B36" s="125" t="s">
        <v>181</v>
      </c>
      <c r="C36" s="125" t="s">
        <v>126</v>
      </c>
      <c r="D36" s="125" t="s">
        <v>127</v>
      </c>
      <c r="E36" s="125" t="s">
        <v>221</v>
      </c>
      <c r="F36" s="125" t="s">
        <v>124</v>
      </c>
      <c r="G36" s="125" t="s">
        <v>121</v>
      </c>
      <c r="H36" s="125" t="s">
        <v>219</v>
      </c>
      <c r="I36" s="125" t="s">
        <v>223</v>
      </c>
      <c r="J36" s="125" t="s">
        <v>132</v>
      </c>
      <c r="K36" s="125" t="s">
        <v>126</v>
      </c>
    </row>
    <row r="37" spans="2:11" x14ac:dyDescent="0.35">
      <c r="B37" s="124" t="s">
        <v>182</v>
      </c>
      <c r="C37" s="124" t="s">
        <v>126</v>
      </c>
      <c r="D37" s="124" t="s">
        <v>131</v>
      </c>
      <c r="E37" s="124" t="s">
        <v>125</v>
      </c>
      <c r="F37" s="124" t="s">
        <v>124</v>
      </c>
      <c r="G37" s="124" t="s">
        <v>121</v>
      </c>
      <c r="H37" s="124" t="s">
        <v>129</v>
      </c>
      <c r="I37" s="124" t="s">
        <v>123</v>
      </c>
      <c r="J37" s="124" t="s">
        <v>132</v>
      </c>
      <c r="K37" s="124" t="s">
        <v>125</v>
      </c>
    </row>
    <row r="38" spans="2:11" x14ac:dyDescent="0.35">
      <c r="B38" s="125" t="s">
        <v>183</v>
      </c>
      <c r="C38" s="125" t="s">
        <v>126</v>
      </c>
      <c r="D38" s="125" t="s">
        <v>131</v>
      </c>
      <c r="E38" s="125" t="s">
        <v>125</v>
      </c>
      <c r="F38" s="125" t="s">
        <v>124</v>
      </c>
      <c r="G38" s="125" t="s">
        <v>147</v>
      </c>
      <c r="H38" s="125" t="s">
        <v>129</v>
      </c>
      <c r="I38" s="125" t="s">
        <v>123</v>
      </c>
      <c r="J38" s="125" t="s">
        <v>132</v>
      </c>
      <c r="K38" s="125" t="s">
        <v>125</v>
      </c>
    </row>
    <row r="39" spans="2:11" x14ac:dyDescent="0.35">
      <c r="B39" s="124" t="s">
        <v>184</v>
      </c>
      <c r="C39" s="124" t="s">
        <v>126</v>
      </c>
      <c r="D39" s="124" t="s">
        <v>127</v>
      </c>
      <c r="E39" s="124" t="s">
        <v>125</v>
      </c>
      <c r="F39" s="124" t="s">
        <v>124</v>
      </c>
      <c r="G39" s="124" t="s">
        <v>121</v>
      </c>
      <c r="H39" s="124" t="s">
        <v>129</v>
      </c>
      <c r="I39" s="124" t="s">
        <v>123</v>
      </c>
      <c r="J39" s="124" t="s">
        <v>146</v>
      </c>
      <c r="K39" s="124" t="s">
        <v>125</v>
      </c>
    </row>
    <row r="40" spans="2:11" x14ac:dyDescent="0.35">
      <c r="B40" s="125" t="s">
        <v>185</v>
      </c>
      <c r="C40" s="125" t="s">
        <v>126</v>
      </c>
      <c r="D40" s="125" t="s">
        <v>131</v>
      </c>
      <c r="E40" s="125" t="s">
        <v>125</v>
      </c>
      <c r="F40" s="125" t="s">
        <v>130</v>
      </c>
      <c r="G40" s="125" t="s">
        <v>121</v>
      </c>
      <c r="H40" s="125" t="s">
        <v>219</v>
      </c>
      <c r="I40" s="125" t="s">
        <v>123</v>
      </c>
      <c r="J40" s="125" t="s">
        <v>132</v>
      </c>
      <c r="K40" s="125" t="s">
        <v>126</v>
      </c>
    </row>
    <row r="41" spans="2:11" x14ac:dyDescent="0.35">
      <c r="B41" s="124" t="s">
        <v>186</v>
      </c>
      <c r="C41" s="124" t="s">
        <v>122</v>
      </c>
      <c r="D41" s="124" t="s">
        <v>131</v>
      </c>
      <c r="E41" s="124" t="s">
        <v>125</v>
      </c>
      <c r="F41" s="124" t="s">
        <v>124</v>
      </c>
      <c r="G41" s="124" t="s">
        <v>121</v>
      </c>
      <c r="H41" s="124" t="s">
        <v>129</v>
      </c>
      <c r="I41" s="124" t="s">
        <v>123</v>
      </c>
      <c r="J41" s="124" t="s">
        <v>132</v>
      </c>
      <c r="K41" s="124" t="s">
        <v>125</v>
      </c>
    </row>
    <row r="42" spans="2:11" x14ac:dyDescent="0.35">
      <c r="B42" s="125" t="s">
        <v>187</v>
      </c>
      <c r="C42" s="125" t="s">
        <v>126</v>
      </c>
      <c r="D42" s="125" t="s">
        <v>131</v>
      </c>
      <c r="E42" s="125" t="s">
        <v>125</v>
      </c>
      <c r="F42" s="125" t="s">
        <v>130</v>
      </c>
      <c r="G42" s="125" t="s">
        <v>121</v>
      </c>
      <c r="H42" s="125" t="s">
        <v>129</v>
      </c>
      <c r="I42" s="125" t="s">
        <v>123</v>
      </c>
      <c r="J42" s="125" t="s">
        <v>132</v>
      </c>
      <c r="K42" s="125" t="s">
        <v>125</v>
      </c>
    </row>
    <row r="43" spans="2:11" x14ac:dyDescent="0.35">
      <c r="B43" s="124" t="s">
        <v>188</v>
      </c>
      <c r="C43" s="124" t="s">
        <v>126</v>
      </c>
      <c r="D43" s="124" t="s">
        <v>131</v>
      </c>
      <c r="E43" s="124" t="s">
        <v>125</v>
      </c>
      <c r="F43" s="124" t="s">
        <v>130</v>
      </c>
      <c r="G43" s="124" t="s">
        <v>147</v>
      </c>
      <c r="H43" s="124" t="s">
        <v>129</v>
      </c>
      <c r="I43" s="124" t="s">
        <v>123</v>
      </c>
      <c r="J43" s="124" t="s">
        <v>132</v>
      </c>
      <c r="K43" s="124" t="s">
        <v>125</v>
      </c>
    </row>
    <row r="44" spans="2:11" x14ac:dyDescent="0.35">
      <c r="B44" s="125" t="s">
        <v>189</v>
      </c>
      <c r="C44" s="125" t="s">
        <v>126</v>
      </c>
      <c r="D44" s="125" t="s">
        <v>131</v>
      </c>
      <c r="E44" s="125" t="s">
        <v>125</v>
      </c>
      <c r="F44" s="125" t="s">
        <v>124</v>
      </c>
      <c r="G44" s="125" t="s">
        <v>147</v>
      </c>
      <c r="H44" s="125" t="s">
        <v>219</v>
      </c>
      <c r="I44" s="125" t="s">
        <v>123</v>
      </c>
      <c r="J44" s="125" t="s">
        <v>132</v>
      </c>
      <c r="K44" s="125" t="s">
        <v>131</v>
      </c>
    </row>
    <row r="45" spans="2:11" x14ac:dyDescent="0.35">
      <c r="B45" s="124" t="s">
        <v>190</v>
      </c>
      <c r="C45" s="124" t="s">
        <v>126</v>
      </c>
      <c r="D45" s="124" t="s">
        <v>131</v>
      </c>
      <c r="E45" s="124" t="s">
        <v>125</v>
      </c>
      <c r="F45" s="124" t="s">
        <v>124</v>
      </c>
      <c r="G45" s="124" t="s">
        <v>121</v>
      </c>
      <c r="H45" s="124" t="s">
        <v>129</v>
      </c>
      <c r="I45" s="124" t="s">
        <v>123</v>
      </c>
      <c r="J45" s="124" t="s">
        <v>132</v>
      </c>
      <c r="K45" s="124" t="s">
        <v>126</v>
      </c>
    </row>
    <row r="46" spans="2:11" x14ac:dyDescent="0.35">
      <c r="B46" s="125" t="s">
        <v>191</v>
      </c>
      <c r="C46" s="125" t="s">
        <v>126</v>
      </c>
      <c r="D46" s="125" t="s">
        <v>131</v>
      </c>
      <c r="E46" s="125" t="s">
        <v>125</v>
      </c>
      <c r="F46" s="125" t="s">
        <v>130</v>
      </c>
      <c r="G46" s="125" t="s">
        <v>121</v>
      </c>
      <c r="H46" s="125" t="s">
        <v>129</v>
      </c>
      <c r="I46" s="125" t="s">
        <v>123</v>
      </c>
      <c r="J46" s="125" t="s">
        <v>132</v>
      </c>
      <c r="K46" s="125" t="s">
        <v>125</v>
      </c>
    </row>
    <row r="47" spans="2:11" x14ac:dyDescent="0.35">
      <c r="B47" s="124" t="s">
        <v>192</v>
      </c>
      <c r="C47" s="124" t="s">
        <v>126</v>
      </c>
      <c r="D47" s="124" t="s">
        <v>131</v>
      </c>
      <c r="E47" s="124" t="s">
        <v>125</v>
      </c>
      <c r="F47" s="124" t="s">
        <v>124</v>
      </c>
      <c r="G47" s="124" t="s">
        <v>121</v>
      </c>
      <c r="H47" s="124" t="s">
        <v>129</v>
      </c>
      <c r="I47" s="124" t="s">
        <v>123</v>
      </c>
      <c r="J47" s="124" t="s">
        <v>132</v>
      </c>
      <c r="K47" s="124" t="s">
        <v>132</v>
      </c>
    </row>
    <row r="48" spans="2:11" x14ac:dyDescent="0.35">
      <c r="B48" s="125" t="s">
        <v>193</v>
      </c>
      <c r="C48" s="125" t="s">
        <v>126</v>
      </c>
      <c r="D48" s="125" t="s">
        <v>131</v>
      </c>
      <c r="E48" s="125" t="s">
        <v>125</v>
      </c>
      <c r="F48" s="125" t="s">
        <v>124</v>
      </c>
      <c r="G48" s="125" t="s">
        <v>147</v>
      </c>
      <c r="H48" s="125" t="s">
        <v>219</v>
      </c>
      <c r="I48" s="125" t="s">
        <v>123</v>
      </c>
      <c r="J48" s="125" t="s">
        <v>132</v>
      </c>
      <c r="K48" s="125" t="s">
        <v>125</v>
      </c>
    </row>
    <row r="49" spans="2:11" x14ac:dyDescent="0.35">
      <c r="B49" s="124" t="s">
        <v>194</v>
      </c>
      <c r="C49" s="124" t="s">
        <v>126</v>
      </c>
      <c r="D49" s="124" t="s">
        <v>131</v>
      </c>
      <c r="E49" s="124" t="s">
        <v>125</v>
      </c>
      <c r="F49" s="124" t="s">
        <v>124</v>
      </c>
      <c r="G49" s="124" t="s">
        <v>121</v>
      </c>
      <c r="H49" s="124" t="s">
        <v>129</v>
      </c>
      <c r="I49" s="124" t="s">
        <v>223</v>
      </c>
      <c r="J49" s="124" t="s">
        <v>146</v>
      </c>
      <c r="K49" s="124" t="s">
        <v>125</v>
      </c>
    </row>
    <row r="50" spans="2:11" x14ac:dyDescent="0.35">
      <c r="B50" s="125" t="s">
        <v>195</v>
      </c>
      <c r="C50" s="125" t="s">
        <v>126</v>
      </c>
      <c r="D50" s="125" t="s">
        <v>131</v>
      </c>
      <c r="E50" s="125" t="s">
        <v>125</v>
      </c>
      <c r="F50" s="125" t="s">
        <v>130</v>
      </c>
      <c r="G50" s="125" t="s">
        <v>147</v>
      </c>
      <c r="H50" s="125" t="s">
        <v>129</v>
      </c>
      <c r="I50" s="125" t="s">
        <v>123</v>
      </c>
      <c r="J50" s="125" t="s">
        <v>132</v>
      </c>
      <c r="K50" s="125" t="s">
        <v>125</v>
      </c>
    </row>
    <row r="51" spans="2:11" x14ac:dyDescent="0.35">
      <c r="B51" s="124" t="s">
        <v>144</v>
      </c>
      <c r="C51" s="124" t="s">
        <v>126</v>
      </c>
      <c r="D51" s="124" t="s">
        <v>131</v>
      </c>
      <c r="E51" s="124" t="s">
        <v>125</v>
      </c>
      <c r="F51" s="124" t="s">
        <v>124</v>
      </c>
      <c r="G51" s="124" t="s">
        <v>121</v>
      </c>
      <c r="H51" s="124" t="s">
        <v>129</v>
      </c>
      <c r="I51" s="124" t="s">
        <v>123</v>
      </c>
      <c r="J51" s="124" t="s">
        <v>146</v>
      </c>
      <c r="K51" s="124" t="s">
        <v>125</v>
      </c>
    </row>
    <row r="52" spans="2:11" x14ac:dyDescent="0.35">
      <c r="B52" s="125" t="s">
        <v>196</v>
      </c>
      <c r="C52" s="125" t="s">
        <v>126</v>
      </c>
      <c r="D52" s="125" t="s">
        <v>131</v>
      </c>
      <c r="E52" s="125" t="s">
        <v>125</v>
      </c>
      <c r="F52" s="125" t="s">
        <v>124</v>
      </c>
      <c r="G52" s="125" t="s">
        <v>147</v>
      </c>
      <c r="H52" s="125" t="s">
        <v>129</v>
      </c>
      <c r="I52" s="125" t="s">
        <v>123</v>
      </c>
      <c r="J52" s="125" t="s">
        <v>146</v>
      </c>
      <c r="K52" s="125" t="s">
        <v>125</v>
      </c>
    </row>
    <row r="53" spans="2:11" x14ac:dyDescent="0.35">
      <c r="B53" s="124" t="s">
        <v>197</v>
      </c>
      <c r="C53" s="124" t="s">
        <v>126</v>
      </c>
      <c r="D53" s="124" t="s">
        <v>131</v>
      </c>
      <c r="E53" s="124" t="s">
        <v>125</v>
      </c>
      <c r="F53" s="124" t="s">
        <v>130</v>
      </c>
      <c r="G53" s="124" t="s">
        <v>121</v>
      </c>
      <c r="H53" s="124" t="s">
        <v>129</v>
      </c>
      <c r="I53" s="124" t="s">
        <v>223</v>
      </c>
      <c r="J53" s="124" t="s">
        <v>132</v>
      </c>
      <c r="K53" s="124" t="s">
        <v>132</v>
      </c>
    </row>
    <row r="54" spans="2:11" x14ac:dyDescent="0.35">
      <c r="B54" s="125" t="s">
        <v>198</v>
      </c>
      <c r="C54" s="125" t="s">
        <v>126</v>
      </c>
      <c r="D54" s="125" t="s">
        <v>131</v>
      </c>
      <c r="E54" s="125" t="s">
        <v>125</v>
      </c>
      <c r="F54" s="125" t="s">
        <v>124</v>
      </c>
      <c r="G54" s="125" t="s">
        <v>121</v>
      </c>
      <c r="H54" s="125" t="s">
        <v>129</v>
      </c>
      <c r="I54" s="125" t="s">
        <v>123</v>
      </c>
      <c r="J54" s="125" t="s">
        <v>132</v>
      </c>
      <c r="K54" s="125" t="s">
        <v>125</v>
      </c>
    </row>
    <row r="55" spans="2:11" x14ac:dyDescent="0.35">
      <c r="B55" s="124" t="s">
        <v>199</v>
      </c>
      <c r="C55" s="124" t="s">
        <v>122</v>
      </c>
      <c r="D55" s="124" t="s">
        <v>127</v>
      </c>
      <c r="E55" s="124" t="s">
        <v>125</v>
      </c>
      <c r="F55" s="124" t="s">
        <v>124</v>
      </c>
      <c r="G55" s="124" t="s">
        <v>121</v>
      </c>
      <c r="H55" s="124" t="s">
        <v>129</v>
      </c>
      <c r="I55" s="124" t="s">
        <v>123</v>
      </c>
      <c r="J55" s="124" t="s">
        <v>132</v>
      </c>
      <c r="K55" s="124" t="s">
        <v>125</v>
      </c>
    </row>
    <row r="56" spans="2:11" x14ac:dyDescent="0.35">
      <c r="B56" s="125" t="s">
        <v>200</v>
      </c>
      <c r="C56" s="125" t="s">
        <v>122</v>
      </c>
      <c r="D56" s="125" t="s">
        <v>131</v>
      </c>
      <c r="E56" s="125" t="s">
        <v>125</v>
      </c>
      <c r="F56" s="125" t="s">
        <v>124</v>
      </c>
      <c r="G56" s="125" t="s">
        <v>121</v>
      </c>
      <c r="H56" s="125" t="s">
        <v>129</v>
      </c>
      <c r="I56" s="125" t="s">
        <v>123</v>
      </c>
      <c r="J56" s="125" t="s">
        <v>132</v>
      </c>
      <c r="K56" s="125" t="s">
        <v>122</v>
      </c>
    </row>
    <row r="57" spans="2:11" x14ac:dyDescent="0.35">
      <c r="B57" s="124" t="s">
        <v>201</v>
      </c>
      <c r="C57" s="124" t="s">
        <v>122</v>
      </c>
      <c r="D57" s="124" t="s">
        <v>131</v>
      </c>
      <c r="E57" s="124" t="s">
        <v>125</v>
      </c>
      <c r="F57" s="124" t="s">
        <v>124</v>
      </c>
      <c r="G57" s="124" t="s">
        <v>147</v>
      </c>
      <c r="H57" s="124" t="s">
        <v>129</v>
      </c>
      <c r="I57" s="124" t="s">
        <v>123</v>
      </c>
      <c r="J57" s="124" t="s">
        <v>132</v>
      </c>
      <c r="K57" s="124" t="s">
        <v>123</v>
      </c>
    </row>
    <row r="58" spans="2:11" x14ac:dyDescent="0.35">
      <c r="B58" s="125" t="s">
        <v>202</v>
      </c>
      <c r="C58" s="125" t="s">
        <v>126</v>
      </c>
      <c r="D58" s="125" t="s">
        <v>131</v>
      </c>
      <c r="E58" s="125" t="s">
        <v>125</v>
      </c>
      <c r="F58" s="125" t="s">
        <v>124</v>
      </c>
      <c r="G58" s="125" t="s">
        <v>147</v>
      </c>
      <c r="H58" s="125" t="s">
        <v>129</v>
      </c>
      <c r="I58" s="125" t="s">
        <v>123</v>
      </c>
      <c r="J58" s="125" t="s">
        <v>146</v>
      </c>
      <c r="K58" s="125" t="s">
        <v>125</v>
      </c>
    </row>
    <row r="59" spans="2:11" x14ac:dyDescent="0.35">
      <c r="B59" s="124" t="s">
        <v>203</v>
      </c>
      <c r="C59" s="124"/>
      <c r="D59" s="124"/>
      <c r="E59" s="124"/>
      <c r="F59" s="124"/>
      <c r="G59" s="124"/>
      <c r="H59" s="124"/>
      <c r="I59" s="124"/>
      <c r="J59" s="124"/>
      <c r="K59" s="124"/>
    </row>
  </sheetData>
  <sheetProtection selectLockedCells="1"/>
  <mergeCells count="1">
    <mergeCell ref="E1:G1"/>
  </mergeCells>
  <phoneticPr fontId="52" type="noConversion"/>
  <pageMargins left="0.7" right="0.7" top="0.75" bottom="0.75" header="0.3" footer="0.3"/>
  <drawing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7"/>
  <dimension ref="A1:S96"/>
  <sheetViews>
    <sheetView workbookViewId="0">
      <selection sqref="A1:Z1048576"/>
    </sheetView>
  </sheetViews>
  <sheetFormatPr defaultRowHeight="14.5" x14ac:dyDescent="0.35"/>
  <cols>
    <col min="14" max="14" width="6.54296875" bestFit="1" customWidth="1"/>
    <col min="17" max="17" width="13.1796875" bestFit="1" customWidth="1"/>
  </cols>
  <sheetData>
    <row r="1" spans="1:19" x14ac:dyDescent="0.35">
      <c r="B1" t="s">
        <v>105</v>
      </c>
      <c r="C1" t="s">
        <v>106</v>
      </c>
      <c r="D1" t="s">
        <v>107</v>
      </c>
      <c r="E1" t="s">
        <v>108</v>
      </c>
      <c r="F1" t="s">
        <v>109</v>
      </c>
      <c r="G1" t="s">
        <v>110</v>
      </c>
      <c r="H1" t="s">
        <v>111</v>
      </c>
      <c r="I1" t="s">
        <v>112</v>
      </c>
      <c r="J1" t="s">
        <v>113</v>
      </c>
      <c r="K1" t="s">
        <v>114</v>
      </c>
      <c r="L1" t="s">
        <v>115</v>
      </c>
      <c r="M1" t="s">
        <v>116</v>
      </c>
      <c r="O1" t="s">
        <v>117</v>
      </c>
      <c r="P1" t="s">
        <v>118</v>
      </c>
      <c r="Q1" t="s">
        <v>119</v>
      </c>
      <c r="R1" t="s">
        <v>120</v>
      </c>
      <c r="S1" t="s">
        <v>43</v>
      </c>
    </row>
    <row r="2" spans="1:19" x14ac:dyDescent="0.35">
      <c r="A2" t="s">
        <v>69</v>
      </c>
      <c r="C2">
        <v>4</v>
      </c>
      <c r="D2">
        <v>5</v>
      </c>
      <c r="E2">
        <v>6</v>
      </c>
      <c r="F2">
        <v>7</v>
      </c>
      <c r="G2">
        <v>8</v>
      </c>
      <c r="H2">
        <v>9</v>
      </c>
      <c r="I2">
        <v>10</v>
      </c>
      <c r="J2">
        <v>11</v>
      </c>
      <c r="K2">
        <v>12</v>
      </c>
    </row>
    <row r="3" spans="1:19" x14ac:dyDescent="0.35">
      <c r="A3" t="s">
        <v>150</v>
      </c>
      <c r="B3">
        <v>1</v>
      </c>
      <c r="C3" t="s">
        <v>126</v>
      </c>
      <c r="D3" t="s">
        <v>131</v>
      </c>
      <c r="E3" t="s">
        <v>125</v>
      </c>
      <c r="F3" t="s">
        <v>124</v>
      </c>
      <c r="G3" t="s">
        <v>121</v>
      </c>
      <c r="H3" t="s">
        <v>129</v>
      </c>
      <c r="I3" t="s">
        <v>123</v>
      </c>
      <c r="J3" t="s">
        <v>132</v>
      </c>
      <c r="K3" t="s">
        <v>125</v>
      </c>
      <c r="L3">
        <v>29</v>
      </c>
      <c r="M3">
        <v>1157</v>
      </c>
      <c r="N3" t="s">
        <v>215</v>
      </c>
      <c r="O3" t="s">
        <v>126</v>
      </c>
      <c r="P3" t="s">
        <v>122</v>
      </c>
      <c r="Q3" t="s">
        <v>216</v>
      </c>
      <c r="R3">
        <v>7</v>
      </c>
      <c r="S3">
        <v>8</v>
      </c>
    </row>
    <row r="4" spans="1:19" x14ac:dyDescent="0.35">
      <c r="A4" t="s">
        <v>151</v>
      </c>
      <c r="B4">
        <v>1</v>
      </c>
      <c r="C4" t="s">
        <v>126</v>
      </c>
      <c r="D4" t="s">
        <v>131</v>
      </c>
      <c r="E4" t="s">
        <v>125</v>
      </c>
      <c r="F4" t="s">
        <v>130</v>
      </c>
      <c r="G4" t="s">
        <v>147</v>
      </c>
      <c r="H4" t="s">
        <v>129</v>
      </c>
      <c r="I4" t="s">
        <v>123</v>
      </c>
      <c r="J4" t="s">
        <v>132</v>
      </c>
      <c r="K4" t="s">
        <v>131</v>
      </c>
      <c r="L4">
        <v>32</v>
      </c>
      <c r="M4">
        <v>1174</v>
      </c>
      <c r="N4" t="s">
        <v>217</v>
      </c>
      <c r="O4" t="s">
        <v>131</v>
      </c>
      <c r="P4" t="s">
        <v>127</v>
      </c>
      <c r="Q4" t="s">
        <v>218</v>
      </c>
    </row>
    <row r="5" spans="1:19" x14ac:dyDescent="0.35">
      <c r="A5" t="s">
        <v>152</v>
      </c>
      <c r="B5">
        <v>1</v>
      </c>
      <c r="C5" t="s">
        <v>126</v>
      </c>
      <c r="D5" t="s">
        <v>131</v>
      </c>
      <c r="E5" t="s">
        <v>125</v>
      </c>
      <c r="F5" t="s">
        <v>124</v>
      </c>
      <c r="G5" t="s">
        <v>121</v>
      </c>
      <c r="H5" t="s">
        <v>219</v>
      </c>
      <c r="I5" t="s">
        <v>123</v>
      </c>
      <c r="J5" t="s">
        <v>132</v>
      </c>
      <c r="K5" t="s">
        <v>125</v>
      </c>
      <c r="L5">
        <v>22</v>
      </c>
      <c r="M5">
        <v>1192</v>
      </c>
      <c r="N5" t="s">
        <v>220</v>
      </c>
      <c r="O5" t="s">
        <v>221</v>
      </c>
      <c r="P5" t="s">
        <v>125</v>
      </c>
      <c r="Q5" t="s">
        <v>218</v>
      </c>
      <c r="R5" t="s">
        <v>222</v>
      </c>
      <c r="S5">
        <v>54</v>
      </c>
    </row>
    <row r="6" spans="1:19" x14ac:dyDescent="0.35">
      <c r="A6" t="s">
        <v>153</v>
      </c>
      <c r="B6">
        <v>1</v>
      </c>
      <c r="C6" t="s">
        <v>126</v>
      </c>
      <c r="D6" t="s">
        <v>131</v>
      </c>
      <c r="E6" t="s">
        <v>125</v>
      </c>
      <c r="F6" t="s">
        <v>124</v>
      </c>
      <c r="G6" t="s">
        <v>121</v>
      </c>
      <c r="H6" t="s">
        <v>219</v>
      </c>
      <c r="I6" t="s">
        <v>223</v>
      </c>
      <c r="J6" t="s">
        <v>132</v>
      </c>
      <c r="K6" t="s">
        <v>125</v>
      </c>
      <c r="L6">
        <v>24</v>
      </c>
      <c r="M6">
        <v>1161</v>
      </c>
      <c r="N6" t="s">
        <v>224</v>
      </c>
      <c r="O6" t="s">
        <v>130</v>
      </c>
      <c r="P6" t="s">
        <v>124</v>
      </c>
      <c r="Q6" t="s">
        <v>225</v>
      </c>
      <c r="R6" t="s">
        <v>105</v>
      </c>
      <c r="S6">
        <v>53</v>
      </c>
    </row>
    <row r="7" spans="1:19" x14ac:dyDescent="0.35">
      <c r="A7" t="s">
        <v>154</v>
      </c>
      <c r="B7">
        <v>1</v>
      </c>
      <c r="C7" t="s">
        <v>126</v>
      </c>
      <c r="D7" t="s">
        <v>131</v>
      </c>
      <c r="E7" t="s">
        <v>125</v>
      </c>
      <c r="F7" t="s">
        <v>124</v>
      </c>
      <c r="G7" t="s">
        <v>121</v>
      </c>
      <c r="H7" t="s">
        <v>129</v>
      </c>
      <c r="I7" t="s">
        <v>123</v>
      </c>
      <c r="J7" t="s">
        <v>132</v>
      </c>
      <c r="K7" t="s">
        <v>126</v>
      </c>
      <c r="L7">
        <v>28</v>
      </c>
      <c r="M7">
        <v>1138</v>
      </c>
      <c r="N7" t="s">
        <v>226</v>
      </c>
      <c r="O7" t="s">
        <v>147</v>
      </c>
      <c r="P7" t="s">
        <v>121</v>
      </c>
      <c r="Q7" t="s">
        <v>225</v>
      </c>
      <c r="R7" t="s">
        <v>48</v>
      </c>
      <c r="S7">
        <v>53</v>
      </c>
    </row>
    <row r="8" spans="1:19" x14ac:dyDescent="0.35">
      <c r="A8" t="s">
        <v>155</v>
      </c>
      <c r="B8">
        <v>1</v>
      </c>
      <c r="C8" t="s">
        <v>126</v>
      </c>
      <c r="D8" t="s">
        <v>131</v>
      </c>
      <c r="E8" t="s">
        <v>125</v>
      </c>
      <c r="F8" t="s">
        <v>124</v>
      </c>
      <c r="G8" t="s">
        <v>147</v>
      </c>
      <c r="H8" t="s">
        <v>219</v>
      </c>
      <c r="I8" t="s">
        <v>123</v>
      </c>
      <c r="J8" t="s">
        <v>132</v>
      </c>
      <c r="K8" t="s">
        <v>131</v>
      </c>
      <c r="L8">
        <v>31</v>
      </c>
      <c r="M8">
        <v>1169</v>
      </c>
      <c r="N8" t="s">
        <v>227</v>
      </c>
      <c r="O8" t="s">
        <v>219</v>
      </c>
      <c r="P8" t="s">
        <v>129</v>
      </c>
      <c r="Q8" t="s">
        <v>228</v>
      </c>
    </row>
    <row r="9" spans="1:19" x14ac:dyDescent="0.35">
      <c r="A9" t="s">
        <v>156</v>
      </c>
      <c r="B9">
        <v>1</v>
      </c>
      <c r="C9" t="s">
        <v>126</v>
      </c>
      <c r="D9" t="s">
        <v>131</v>
      </c>
      <c r="E9" t="s">
        <v>125</v>
      </c>
      <c r="F9" t="s">
        <v>124</v>
      </c>
      <c r="G9" t="s">
        <v>121</v>
      </c>
      <c r="H9" t="s">
        <v>129</v>
      </c>
      <c r="I9" t="s">
        <v>123</v>
      </c>
      <c r="J9" t="s">
        <v>132</v>
      </c>
      <c r="K9" t="s">
        <v>125</v>
      </c>
      <c r="L9">
        <v>35</v>
      </c>
      <c r="M9">
        <v>1193</v>
      </c>
      <c r="N9" t="s">
        <v>229</v>
      </c>
      <c r="O9" t="s">
        <v>223</v>
      </c>
      <c r="P9" t="s">
        <v>123</v>
      </c>
      <c r="Q9" t="s">
        <v>228</v>
      </c>
    </row>
    <row r="10" spans="1:19" x14ac:dyDescent="0.35">
      <c r="A10" t="s">
        <v>157</v>
      </c>
      <c r="B10">
        <v>1</v>
      </c>
      <c r="C10" t="s">
        <v>126</v>
      </c>
      <c r="D10" t="s">
        <v>131</v>
      </c>
      <c r="E10" t="s">
        <v>221</v>
      </c>
      <c r="F10" t="s">
        <v>124</v>
      </c>
      <c r="G10" t="s">
        <v>121</v>
      </c>
      <c r="H10" t="s">
        <v>129</v>
      </c>
      <c r="I10" t="s">
        <v>123</v>
      </c>
      <c r="J10" t="s">
        <v>132</v>
      </c>
      <c r="K10" t="s">
        <v>131</v>
      </c>
      <c r="L10">
        <v>22</v>
      </c>
      <c r="M10">
        <v>1156</v>
      </c>
      <c r="N10" t="s">
        <v>230</v>
      </c>
      <c r="O10" t="s">
        <v>132</v>
      </c>
      <c r="P10" t="s">
        <v>146</v>
      </c>
      <c r="Q10" t="s">
        <v>231</v>
      </c>
    </row>
    <row r="11" spans="1:19" x14ac:dyDescent="0.35">
      <c r="A11" t="s">
        <v>158</v>
      </c>
      <c r="B11">
        <v>1</v>
      </c>
      <c r="C11" t="s">
        <v>122</v>
      </c>
      <c r="D11" t="s">
        <v>131</v>
      </c>
      <c r="E11" t="s">
        <v>125</v>
      </c>
      <c r="F11" t="s">
        <v>130</v>
      </c>
      <c r="G11" t="s">
        <v>147</v>
      </c>
      <c r="H11" t="s">
        <v>129</v>
      </c>
      <c r="I11" t="s">
        <v>123</v>
      </c>
      <c r="J11" t="s">
        <v>146</v>
      </c>
      <c r="K11" t="s">
        <v>125</v>
      </c>
      <c r="L11">
        <v>20</v>
      </c>
      <c r="M11">
        <v>1036</v>
      </c>
    </row>
    <row r="12" spans="1:19" x14ac:dyDescent="0.35">
      <c r="A12" t="s">
        <v>159</v>
      </c>
      <c r="B12">
        <v>1</v>
      </c>
      <c r="C12" t="s">
        <v>122</v>
      </c>
      <c r="D12" t="s">
        <v>131</v>
      </c>
      <c r="E12" t="s">
        <v>125</v>
      </c>
      <c r="F12" t="s">
        <v>124</v>
      </c>
      <c r="G12" t="s">
        <v>121</v>
      </c>
      <c r="H12" t="s">
        <v>129</v>
      </c>
      <c r="I12" t="s">
        <v>123</v>
      </c>
      <c r="J12" t="s">
        <v>132</v>
      </c>
      <c r="K12" t="s">
        <v>125</v>
      </c>
      <c r="L12">
        <v>28</v>
      </c>
      <c r="M12">
        <v>1163</v>
      </c>
    </row>
    <row r="13" spans="1:19" x14ac:dyDescent="0.35">
      <c r="A13" t="s">
        <v>160</v>
      </c>
      <c r="B13">
        <v>1</v>
      </c>
      <c r="C13" t="s">
        <v>126</v>
      </c>
      <c r="D13" t="s">
        <v>131</v>
      </c>
      <c r="E13" t="s">
        <v>125</v>
      </c>
      <c r="F13" t="s">
        <v>130</v>
      </c>
      <c r="G13" t="s">
        <v>147</v>
      </c>
      <c r="H13" t="s">
        <v>129</v>
      </c>
      <c r="I13" t="s">
        <v>123</v>
      </c>
      <c r="J13" t="s">
        <v>132</v>
      </c>
      <c r="K13" t="s">
        <v>131</v>
      </c>
      <c r="L13">
        <v>25</v>
      </c>
      <c r="M13">
        <v>1191</v>
      </c>
    </row>
    <row r="14" spans="1:19" x14ac:dyDescent="0.35">
      <c r="A14" t="s">
        <v>161</v>
      </c>
      <c r="B14">
        <v>1</v>
      </c>
      <c r="C14" t="s">
        <v>122</v>
      </c>
      <c r="D14" t="s">
        <v>131</v>
      </c>
      <c r="E14" t="s">
        <v>125</v>
      </c>
      <c r="F14" t="s">
        <v>124</v>
      </c>
      <c r="G14" t="s">
        <v>121</v>
      </c>
      <c r="H14" t="s">
        <v>129</v>
      </c>
      <c r="I14" t="s">
        <v>123</v>
      </c>
      <c r="J14" t="s">
        <v>146</v>
      </c>
      <c r="K14" t="s">
        <v>125</v>
      </c>
      <c r="L14">
        <v>28</v>
      </c>
      <c r="M14">
        <v>1165</v>
      </c>
    </row>
    <row r="15" spans="1:19" x14ac:dyDescent="0.35">
      <c r="A15" t="s">
        <v>162</v>
      </c>
      <c r="B15">
        <v>1</v>
      </c>
      <c r="C15" t="s">
        <v>122</v>
      </c>
      <c r="D15" t="s">
        <v>131</v>
      </c>
      <c r="E15" t="s">
        <v>125</v>
      </c>
      <c r="F15" t="s">
        <v>124</v>
      </c>
      <c r="G15" t="s">
        <v>147</v>
      </c>
      <c r="H15" t="s">
        <v>129</v>
      </c>
      <c r="I15" t="s">
        <v>123</v>
      </c>
      <c r="J15" t="s">
        <v>132</v>
      </c>
      <c r="K15" t="s">
        <v>131</v>
      </c>
      <c r="L15">
        <v>27</v>
      </c>
      <c r="M15">
        <v>1187</v>
      </c>
    </row>
    <row r="16" spans="1:19" x14ac:dyDescent="0.35">
      <c r="A16" t="s">
        <v>163</v>
      </c>
      <c r="B16">
        <v>1</v>
      </c>
      <c r="C16" t="s">
        <v>126</v>
      </c>
      <c r="D16" t="s">
        <v>131</v>
      </c>
      <c r="E16" t="s">
        <v>125</v>
      </c>
      <c r="F16" t="s">
        <v>124</v>
      </c>
      <c r="G16" t="s">
        <v>121</v>
      </c>
      <c r="H16" t="s">
        <v>219</v>
      </c>
      <c r="I16" t="s">
        <v>123</v>
      </c>
      <c r="J16" t="s">
        <v>132</v>
      </c>
      <c r="K16" t="s">
        <v>131</v>
      </c>
      <c r="L16">
        <v>40</v>
      </c>
      <c r="M16">
        <v>1215</v>
      </c>
    </row>
    <row r="17" spans="1:13" x14ac:dyDescent="0.35">
      <c r="A17" t="s">
        <v>164</v>
      </c>
      <c r="B17">
        <v>1</v>
      </c>
      <c r="C17" t="s">
        <v>122</v>
      </c>
      <c r="D17" t="s">
        <v>131</v>
      </c>
      <c r="E17" t="s">
        <v>125</v>
      </c>
      <c r="F17" t="s">
        <v>124</v>
      </c>
      <c r="G17" t="s">
        <v>147</v>
      </c>
      <c r="H17" t="s">
        <v>129</v>
      </c>
      <c r="I17" t="s">
        <v>123</v>
      </c>
      <c r="J17" t="s">
        <v>132</v>
      </c>
      <c r="K17" t="s">
        <v>125</v>
      </c>
      <c r="L17">
        <v>27</v>
      </c>
      <c r="M17">
        <v>1166</v>
      </c>
    </row>
    <row r="18" spans="1:13" x14ac:dyDescent="0.35">
      <c r="A18" t="s">
        <v>165</v>
      </c>
      <c r="B18">
        <v>1</v>
      </c>
      <c r="C18" t="s">
        <v>126</v>
      </c>
      <c r="D18" t="s">
        <v>131</v>
      </c>
      <c r="E18" t="s">
        <v>125</v>
      </c>
      <c r="F18" t="s">
        <v>124</v>
      </c>
      <c r="G18" t="s">
        <v>121</v>
      </c>
      <c r="H18" t="s">
        <v>219</v>
      </c>
      <c r="I18" t="s">
        <v>123</v>
      </c>
      <c r="J18" t="s">
        <v>132</v>
      </c>
      <c r="K18" t="s">
        <v>125</v>
      </c>
      <c r="L18">
        <v>32</v>
      </c>
      <c r="M18">
        <v>1227</v>
      </c>
    </row>
    <row r="19" spans="1:13" x14ac:dyDescent="0.35">
      <c r="A19" t="s">
        <v>166</v>
      </c>
      <c r="B19">
        <v>1</v>
      </c>
      <c r="C19" t="s">
        <v>126</v>
      </c>
      <c r="D19" t="s">
        <v>127</v>
      </c>
      <c r="E19" t="s">
        <v>125</v>
      </c>
      <c r="F19" t="s">
        <v>124</v>
      </c>
      <c r="G19" t="s">
        <v>147</v>
      </c>
      <c r="H19" t="s">
        <v>129</v>
      </c>
      <c r="I19" t="s">
        <v>123</v>
      </c>
      <c r="J19" t="s">
        <v>132</v>
      </c>
      <c r="K19" t="s">
        <v>125</v>
      </c>
      <c r="L19">
        <v>30</v>
      </c>
      <c r="M19">
        <v>1164</v>
      </c>
    </row>
    <row r="20" spans="1:13" x14ac:dyDescent="0.35">
      <c r="A20" t="s">
        <v>167</v>
      </c>
      <c r="B20">
        <v>1</v>
      </c>
      <c r="C20" t="s">
        <v>122</v>
      </c>
      <c r="D20" t="s">
        <v>131</v>
      </c>
      <c r="E20" t="s">
        <v>125</v>
      </c>
      <c r="F20" t="s">
        <v>124</v>
      </c>
      <c r="G20" t="s">
        <v>121</v>
      </c>
      <c r="H20" t="s">
        <v>129</v>
      </c>
      <c r="I20" t="s">
        <v>123</v>
      </c>
      <c r="J20" t="s">
        <v>146</v>
      </c>
      <c r="K20" t="s">
        <v>124</v>
      </c>
      <c r="L20">
        <v>24</v>
      </c>
      <c r="M20">
        <v>1162</v>
      </c>
    </row>
    <row r="21" spans="1:13" x14ac:dyDescent="0.35">
      <c r="A21" t="s">
        <v>168</v>
      </c>
      <c r="B21">
        <v>1</v>
      </c>
      <c r="C21" t="s">
        <v>126</v>
      </c>
      <c r="D21" t="s">
        <v>131</v>
      </c>
      <c r="E21" t="s">
        <v>125</v>
      </c>
      <c r="F21" t="s">
        <v>124</v>
      </c>
      <c r="G21" t="s">
        <v>147</v>
      </c>
      <c r="H21" t="s">
        <v>129</v>
      </c>
      <c r="I21" t="s">
        <v>123</v>
      </c>
      <c r="J21" t="s">
        <v>132</v>
      </c>
      <c r="K21" t="s">
        <v>125</v>
      </c>
      <c r="L21">
        <v>27</v>
      </c>
      <c r="M21">
        <v>1169</v>
      </c>
    </row>
    <row r="22" spans="1:13" x14ac:dyDescent="0.35">
      <c r="A22" t="s">
        <v>169</v>
      </c>
      <c r="B22">
        <v>1</v>
      </c>
      <c r="C22" t="s">
        <v>126</v>
      </c>
      <c r="D22" t="s">
        <v>131</v>
      </c>
      <c r="E22" t="s">
        <v>125</v>
      </c>
      <c r="F22" t="s">
        <v>124</v>
      </c>
      <c r="G22" t="s">
        <v>121</v>
      </c>
      <c r="H22" t="s">
        <v>129</v>
      </c>
      <c r="I22" t="s">
        <v>123</v>
      </c>
      <c r="J22" t="s">
        <v>132</v>
      </c>
      <c r="K22" t="s">
        <v>125</v>
      </c>
      <c r="L22">
        <v>27</v>
      </c>
      <c r="M22">
        <v>1117</v>
      </c>
    </row>
    <row r="23" spans="1:13" x14ac:dyDescent="0.35">
      <c r="A23" t="s">
        <v>170</v>
      </c>
      <c r="B23">
        <v>1</v>
      </c>
      <c r="C23" t="s">
        <v>122</v>
      </c>
      <c r="D23" t="s">
        <v>131</v>
      </c>
      <c r="E23" t="s">
        <v>125</v>
      </c>
      <c r="F23" t="s">
        <v>130</v>
      </c>
      <c r="G23" t="s">
        <v>121</v>
      </c>
      <c r="H23" t="s">
        <v>219</v>
      </c>
      <c r="I23" t="s">
        <v>123</v>
      </c>
      <c r="J23" t="s">
        <v>146</v>
      </c>
      <c r="K23" t="s">
        <v>122</v>
      </c>
      <c r="L23">
        <v>18</v>
      </c>
      <c r="M23">
        <v>984</v>
      </c>
    </row>
    <row r="24" spans="1:13" x14ac:dyDescent="0.35">
      <c r="A24" t="s">
        <v>171</v>
      </c>
      <c r="B24">
        <v>1</v>
      </c>
      <c r="C24" t="s">
        <v>126</v>
      </c>
      <c r="D24" t="s">
        <v>131</v>
      </c>
      <c r="E24" t="s">
        <v>125</v>
      </c>
      <c r="F24" t="s">
        <v>124</v>
      </c>
      <c r="G24" t="s">
        <v>121</v>
      </c>
      <c r="H24" t="s">
        <v>129</v>
      </c>
      <c r="I24" t="s">
        <v>123</v>
      </c>
      <c r="J24" t="s">
        <v>132</v>
      </c>
      <c r="K24" t="s">
        <v>125</v>
      </c>
      <c r="L24">
        <v>20</v>
      </c>
      <c r="M24">
        <v>1084</v>
      </c>
    </row>
    <row r="25" spans="1:13" x14ac:dyDescent="0.35">
      <c r="A25" t="s">
        <v>172</v>
      </c>
      <c r="B25">
        <v>1</v>
      </c>
      <c r="C25" t="s">
        <v>122</v>
      </c>
      <c r="D25" t="s">
        <v>131</v>
      </c>
      <c r="E25" t="s">
        <v>125</v>
      </c>
      <c r="F25" t="s">
        <v>124</v>
      </c>
      <c r="G25" t="s">
        <v>121</v>
      </c>
      <c r="H25" t="s">
        <v>129</v>
      </c>
      <c r="I25" t="s">
        <v>123</v>
      </c>
      <c r="J25" t="s">
        <v>132</v>
      </c>
      <c r="K25" t="s">
        <v>131</v>
      </c>
      <c r="L25">
        <v>30</v>
      </c>
      <c r="M25">
        <v>1141</v>
      </c>
    </row>
    <row r="26" spans="1:13" x14ac:dyDescent="0.35">
      <c r="A26" t="s">
        <v>173</v>
      </c>
      <c r="B26">
        <v>1</v>
      </c>
      <c r="C26" t="s">
        <v>126</v>
      </c>
      <c r="D26" t="s">
        <v>131</v>
      </c>
      <c r="E26" t="s">
        <v>125</v>
      </c>
      <c r="F26" t="s">
        <v>124</v>
      </c>
      <c r="G26" t="s">
        <v>121</v>
      </c>
      <c r="H26" t="s">
        <v>129</v>
      </c>
      <c r="I26" t="s">
        <v>123</v>
      </c>
      <c r="J26" t="s">
        <v>132</v>
      </c>
      <c r="K26" t="s">
        <v>125</v>
      </c>
      <c r="L26">
        <v>30</v>
      </c>
      <c r="M26">
        <v>1141</v>
      </c>
    </row>
    <row r="27" spans="1:13" x14ac:dyDescent="0.35">
      <c r="A27" t="s">
        <v>174</v>
      </c>
      <c r="B27">
        <v>1</v>
      </c>
      <c r="C27" t="s">
        <v>126</v>
      </c>
      <c r="D27" t="s">
        <v>127</v>
      </c>
      <c r="E27" t="s">
        <v>125</v>
      </c>
      <c r="F27" t="s">
        <v>124</v>
      </c>
      <c r="G27" t="s">
        <v>147</v>
      </c>
      <c r="H27" t="s">
        <v>219</v>
      </c>
      <c r="I27" t="s">
        <v>123</v>
      </c>
      <c r="J27" t="s">
        <v>132</v>
      </c>
      <c r="K27" t="s">
        <v>132</v>
      </c>
      <c r="L27">
        <v>21</v>
      </c>
      <c r="M27">
        <v>1130</v>
      </c>
    </row>
    <row r="28" spans="1:13" x14ac:dyDescent="0.35">
      <c r="A28" t="s">
        <v>175</v>
      </c>
      <c r="B28">
        <v>1</v>
      </c>
      <c r="C28" t="s">
        <v>126</v>
      </c>
      <c r="D28" t="s">
        <v>131</v>
      </c>
      <c r="E28" t="s">
        <v>125</v>
      </c>
      <c r="F28" t="s">
        <v>124</v>
      </c>
      <c r="G28" t="s">
        <v>121</v>
      </c>
      <c r="H28" t="s">
        <v>129</v>
      </c>
      <c r="I28" t="s">
        <v>123</v>
      </c>
      <c r="J28" t="s">
        <v>146</v>
      </c>
      <c r="K28" t="s">
        <v>125</v>
      </c>
      <c r="L28">
        <v>32</v>
      </c>
      <c r="M28">
        <v>1201</v>
      </c>
    </row>
    <row r="29" spans="1:13" x14ac:dyDescent="0.35">
      <c r="A29" t="s">
        <v>176</v>
      </c>
      <c r="B29">
        <v>1</v>
      </c>
      <c r="C29" t="s">
        <v>126</v>
      </c>
      <c r="D29" t="s">
        <v>131</v>
      </c>
      <c r="E29" t="s">
        <v>125</v>
      </c>
      <c r="F29" t="s">
        <v>124</v>
      </c>
      <c r="G29" t="s">
        <v>121</v>
      </c>
      <c r="H29" t="s">
        <v>219</v>
      </c>
      <c r="I29" t="s">
        <v>123</v>
      </c>
      <c r="J29" t="s">
        <v>132</v>
      </c>
      <c r="K29" t="s">
        <v>131</v>
      </c>
      <c r="L29">
        <v>22</v>
      </c>
      <c r="M29">
        <v>1105</v>
      </c>
    </row>
    <row r="30" spans="1:13" x14ac:dyDescent="0.35">
      <c r="A30" t="s">
        <v>177</v>
      </c>
      <c r="B30">
        <v>1</v>
      </c>
      <c r="C30" t="s">
        <v>126</v>
      </c>
      <c r="D30" t="s">
        <v>131</v>
      </c>
      <c r="E30" t="s">
        <v>125</v>
      </c>
      <c r="F30" t="s">
        <v>124</v>
      </c>
      <c r="G30" t="s">
        <v>147</v>
      </c>
      <c r="H30" t="s">
        <v>129</v>
      </c>
      <c r="I30" t="s">
        <v>123</v>
      </c>
      <c r="J30" t="s">
        <v>132</v>
      </c>
      <c r="K30" t="s">
        <v>124</v>
      </c>
      <c r="L30">
        <v>38</v>
      </c>
      <c r="M30">
        <v>1247</v>
      </c>
    </row>
    <row r="31" spans="1:13" x14ac:dyDescent="0.35">
      <c r="A31" t="s">
        <v>178</v>
      </c>
      <c r="B31">
        <v>0</v>
      </c>
      <c r="C31" t="s">
        <v>84</v>
      </c>
      <c r="D31" t="s">
        <v>84</v>
      </c>
      <c r="E31" t="s">
        <v>84</v>
      </c>
      <c r="F31" t="s">
        <v>84</v>
      </c>
      <c r="G31" t="s">
        <v>84</v>
      </c>
      <c r="H31" t="s">
        <v>84</v>
      </c>
      <c r="I31" t="s">
        <v>84</v>
      </c>
      <c r="J31" t="s">
        <v>84</v>
      </c>
      <c r="K31" t="s">
        <v>84</v>
      </c>
      <c r="L31">
        <v>23</v>
      </c>
      <c r="M31">
        <v>1085</v>
      </c>
    </row>
    <row r="32" spans="1:13" x14ac:dyDescent="0.35">
      <c r="A32" t="s">
        <v>179</v>
      </c>
      <c r="B32">
        <v>1</v>
      </c>
      <c r="C32" t="s">
        <v>126</v>
      </c>
      <c r="D32" t="s">
        <v>131</v>
      </c>
      <c r="E32" t="s">
        <v>125</v>
      </c>
      <c r="F32" t="s">
        <v>124</v>
      </c>
      <c r="G32" t="s">
        <v>147</v>
      </c>
      <c r="H32" t="s">
        <v>129</v>
      </c>
      <c r="I32" t="s">
        <v>123</v>
      </c>
      <c r="J32" t="s">
        <v>146</v>
      </c>
      <c r="K32" t="s">
        <v>125</v>
      </c>
      <c r="L32">
        <v>28</v>
      </c>
      <c r="M32">
        <v>1087</v>
      </c>
    </row>
    <row r="33" spans="1:13" x14ac:dyDescent="0.35">
      <c r="A33" t="s">
        <v>180</v>
      </c>
      <c r="B33">
        <v>1</v>
      </c>
      <c r="C33" t="s">
        <v>126</v>
      </c>
      <c r="D33" t="s">
        <v>131</v>
      </c>
      <c r="E33" t="s">
        <v>125</v>
      </c>
      <c r="F33" t="s">
        <v>124</v>
      </c>
      <c r="G33" t="s">
        <v>121</v>
      </c>
      <c r="H33" t="s">
        <v>129</v>
      </c>
      <c r="I33" t="s">
        <v>123</v>
      </c>
      <c r="J33" t="s">
        <v>146</v>
      </c>
      <c r="K33" t="s">
        <v>125</v>
      </c>
      <c r="L33">
        <v>29</v>
      </c>
      <c r="M33">
        <v>1155</v>
      </c>
    </row>
    <row r="34" spans="1:13" x14ac:dyDescent="0.35">
      <c r="A34" t="s">
        <v>181</v>
      </c>
      <c r="B34">
        <v>1</v>
      </c>
      <c r="C34" t="s">
        <v>126</v>
      </c>
      <c r="D34" t="s">
        <v>127</v>
      </c>
      <c r="E34" t="s">
        <v>221</v>
      </c>
      <c r="F34" t="s">
        <v>124</v>
      </c>
      <c r="G34" t="s">
        <v>121</v>
      </c>
      <c r="H34" t="s">
        <v>219</v>
      </c>
      <c r="I34" t="s">
        <v>223</v>
      </c>
      <c r="J34" t="s">
        <v>132</v>
      </c>
      <c r="K34" t="s">
        <v>126</v>
      </c>
      <c r="L34">
        <v>31</v>
      </c>
      <c r="M34">
        <v>1232</v>
      </c>
    </row>
    <row r="35" spans="1:13" x14ac:dyDescent="0.35">
      <c r="A35" t="s">
        <v>182</v>
      </c>
      <c r="B35">
        <v>1</v>
      </c>
      <c r="C35" t="s">
        <v>126</v>
      </c>
      <c r="D35" t="s">
        <v>131</v>
      </c>
      <c r="E35" t="s">
        <v>125</v>
      </c>
      <c r="F35" t="s">
        <v>124</v>
      </c>
      <c r="G35" t="s">
        <v>121</v>
      </c>
      <c r="H35" t="s">
        <v>129</v>
      </c>
      <c r="I35" t="s">
        <v>123</v>
      </c>
      <c r="J35" t="s">
        <v>132</v>
      </c>
      <c r="K35" t="s">
        <v>125</v>
      </c>
      <c r="L35">
        <v>31</v>
      </c>
      <c r="M35">
        <v>1187</v>
      </c>
    </row>
    <row r="36" spans="1:13" x14ac:dyDescent="0.35">
      <c r="A36" t="s">
        <v>183</v>
      </c>
      <c r="B36">
        <v>1</v>
      </c>
      <c r="C36" t="s">
        <v>126</v>
      </c>
      <c r="D36" t="s">
        <v>131</v>
      </c>
      <c r="E36" t="s">
        <v>125</v>
      </c>
      <c r="F36" t="s">
        <v>124</v>
      </c>
      <c r="G36" t="s">
        <v>147</v>
      </c>
      <c r="H36" t="s">
        <v>129</v>
      </c>
      <c r="I36" t="s">
        <v>123</v>
      </c>
      <c r="J36" t="s">
        <v>132</v>
      </c>
      <c r="K36" t="s">
        <v>125</v>
      </c>
      <c r="L36">
        <v>34</v>
      </c>
      <c r="M36">
        <v>1163</v>
      </c>
    </row>
    <row r="37" spans="1:13" x14ac:dyDescent="0.35">
      <c r="A37" t="s">
        <v>184</v>
      </c>
      <c r="B37">
        <v>1</v>
      </c>
      <c r="C37" t="s">
        <v>126</v>
      </c>
      <c r="D37" t="s">
        <v>127</v>
      </c>
      <c r="E37" t="s">
        <v>125</v>
      </c>
      <c r="F37" t="s">
        <v>124</v>
      </c>
      <c r="G37" t="s">
        <v>121</v>
      </c>
      <c r="H37" t="s">
        <v>129</v>
      </c>
      <c r="I37" t="s">
        <v>123</v>
      </c>
      <c r="J37" t="s">
        <v>146</v>
      </c>
      <c r="K37" t="s">
        <v>125</v>
      </c>
      <c r="L37">
        <v>26</v>
      </c>
      <c r="M37">
        <v>1148</v>
      </c>
    </row>
    <row r="38" spans="1:13" x14ac:dyDescent="0.35">
      <c r="A38" t="s">
        <v>185</v>
      </c>
      <c r="B38">
        <v>1</v>
      </c>
      <c r="C38" t="s">
        <v>126</v>
      </c>
      <c r="D38" t="s">
        <v>131</v>
      </c>
      <c r="E38" t="s">
        <v>125</v>
      </c>
      <c r="F38" t="s">
        <v>130</v>
      </c>
      <c r="G38" t="s">
        <v>121</v>
      </c>
      <c r="H38" t="s">
        <v>219</v>
      </c>
      <c r="I38" t="s">
        <v>123</v>
      </c>
      <c r="J38" t="s">
        <v>132</v>
      </c>
      <c r="K38" t="s">
        <v>126</v>
      </c>
      <c r="L38">
        <v>21</v>
      </c>
      <c r="M38">
        <v>1103</v>
      </c>
    </row>
    <row r="39" spans="1:13" x14ac:dyDescent="0.35">
      <c r="A39" t="s">
        <v>186</v>
      </c>
      <c r="B39">
        <v>1</v>
      </c>
      <c r="C39" t="s">
        <v>122</v>
      </c>
      <c r="D39" t="s">
        <v>131</v>
      </c>
      <c r="E39" t="s">
        <v>125</v>
      </c>
      <c r="F39" t="s">
        <v>124</v>
      </c>
      <c r="G39" t="s">
        <v>121</v>
      </c>
      <c r="H39" t="s">
        <v>129</v>
      </c>
      <c r="I39" t="s">
        <v>123</v>
      </c>
      <c r="J39" t="s">
        <v>132</v>
      </c>
      <c r="K39" t="s">
        <v>125</v>
      </c>
      <c r="L39">
        <v>23</v>
      </c>
      <c r="M39">
        <v>1213</v>
      </c>
    </row>
    <row r="40" spans="1:13" x14ac:dyDescent="0.35">
      <c r="A40" t="s">
        <v>187</v>
      </c>
      <c r="B40">
        <v>1</v>
      </c>
      <c r="C40" t="s">
        <v>126</v>
      </c>
      <c r="D40" t="s">
        <v>131</v>
      </c>
      <c r="E40" t="s">
        <v>125</v>
      </c>
      <c r="F40" t="s">
        <v>130</v>
      </c>
      <c r="G40" t="s">
        <v>121</v>
      </c>
      <c r="H40" t="s">
        <v>129</v>
      </c>
      <c r="I40" t="s">
        <v>123</v>
      </c>
      <c r="J40" t="s">
        <v>132</v>
      </c>
      <c r="K40" t="s">
        <v>125</v>
      </c>
      <c r="L40">
        <v>32</v>
      </c>
      <c r="M40">
        <v>1192</v>
      </c>
    </row>
    <row r="41" spans="1:13" x14ac:dyDescent="0.35">
      <c r="A41" t="s">
        <v>188</v>
      </c>
      <c r="B41">
        <v>1</v>
      </c>
      <c r="C41" t="s">
        <v>126</v>
      </c>
      <c r="D41" t="s">
        <v>131</v>
      </c>
      <c r="E41" t="s">
        <v>125</v>
      </c>
      <c r="F41" t="s">
        <v>130</v>
      </c>
      <c r="G41" t="s">
        <v>147</v>
      </c>
      <c r="H41" t="s">
        <v>129</v>
      </c>
      <c r="I41" t="s">
        <v>123</v>
      </c>
      <c r="J41" t="s">
        <v>132</v>
      </c>
      <c r="K41" t="s">
        <v>125</v>
      </c>
      <c r="L41">
        <v>36</v>
      </c>
      <c r="M41">
        <v>1186</v>
      </c>
    </row>
    <row r="42" spans="1:13" x14ac:dyDescent="0.35">
      <c r="A42" t="s">
        <v>189</v>
      </c>
      <c r="B42">
        <v>1</v>
      </c>
      <c r="C42" t="s">
        <v>126</v>
      </c>
      <c r="D42" t="s">
        <v>131</v>
      </c>
      <c r="E42" t="s">
        <v>125</v>
      </c>
      <c r="F42" t="s">
        <v>124</v>
      </c>
      <c r="G42" t="s">
        <v>147</v>
      </c>
      <c r="H42" t="s">
        <v>219</v>
      </c>
      <c r="I42" t="s">
        <v>123</v>
      </c>
      <c r="J42" t="s">
        <v>132</v>
      </c>
      <c r="K42" t="s">
        <v>131</v>
      </c>
      <c r="L42">
        <v>38</v>
      </c>
      <c r="M42">
        <v>1219</v>
      </c>
    </row>
    <row r="43" spans="1:13" x14ac:dyDescent="0.35">
      <c r="A43" t="s">
        <v>190</v>
      </c>
      <c r="B43">
        <v>1</v>
      </c>
      <c r="C43" t="s">
        <v>126</v>
      </c>
      <c r="D43" t="s">
        <v>131</v>
      </c>
      <c r="E43" t="s">
        <v>125</v>
      </c>
      <c r="F43" t="s">
        <v>124</v>
      </c>
      <c r="G43" t="s">
        <v>121</v>
      </c>
      <c r="H43" t="s">
        <v>129</v>
      </c>
      <c r="I43" t="s">
        <v>123</v>
      </c>
      <c r="J43" t="s">
        <v>132</v>
      </c>
      <c r="K43" t="s">
        <v>126</v>
      </c>
      <c r="L43">
        <v>28</v>
      </c>
      <c r="M43">
        <v>1163</v>
      </c>
    </row>
    <row r="44" spans="1:13" x14ac:dyDescent="0.35">
      <c r="A44" t="s">
        <v>191</v>
      </c>
      <c r="B44">
        <v>1</v>
      </c>
      <c r="C44" t="s">
        <v>126</v>
      </c>
      <c r="D44" t="s">
        <v>131</v>
      </c>
      <c r="E44" t="s">
        <v>125</v>
      </c>
      <c r="F44" t="s">
        <v>130</v>
      </c>
      <c r="G44" t="s">
        <v>121</v>
      </c>
      <c r="H44" t="s">
        <v>129</v>
      </c>
      <c r="I44" t="s">
        <v>123</v>
      </c>
      <c r="J44" t="s">
        <v>132</v>
      </c>
      <c r="K44" t="s">
        <v>125</v>
      </c>
      <c r="L44">
        <v>35</v>
      </c>
      <c r="M44">
        <v>1197</v>
      </c>
    </row>
    <row r="45" spans="1:13" x14ac:dyDescent="0.35">
      <c r="A45" t="s">
        <v>192</v>
      </c>
      <c r="B45">
        <v>1</v>
      </c>
      <c r="C45" t="s">
        <v>126</v>
      </c>
      <c r="D45" t="s">
        <v>131</v>
      </c>
      <c r="E45" t="s">
        <v>125</v>
      </c>
      <c r="F45" t="s">
        <v>124</v>
      </c>
      <c r="G45" t="s">
        <v>121</v>
      </c>
      <c r="H45" t="s">
        <v>129</v>
      </c>
      <c r="I45" t="s">
        <v>123</v>
      </c>
      <c r="J45" t="s">
        <v>132</v>
      </c>
      <c r="K45" t="s">
        <v>132</v>
      </c>
      <c r="L45">
        <v>20</v>
      </c>
      <c r="M45">
        <v>1141</v>
      </c>
    </row>
    <row r="46" spans="1:13" x14ac:dyDescent="0.35">
      <c r="A46" t="s">
        <v>193</v>
      </c>
      <c r="B46">
        <v>1</v>
      </c>
      <c r="C46" t="s">
        <v>126</v>
      </c>
      <c r="D46" t="s">
        <v>131</v>
      </c>
      <c r="E46" t="s">
        <v>125</v>
      </c>
      <c r="F46" t="s">
        <v>124</v>
      </c>
      <c r="G46" t="s">
        <v>147</v>
      </c>
      <c r="H46" t="s">
        <v>219</v>
      </c>
      <c r="I46" t="s">
        <v>123</v>
      </c>
      <c r="J46" t="s">
        <v>132</v>
      </c>
      <c r="K46" t="s">
        <v>125</v>
      </c>
      <c r="L46">
        <v>32</v>
      </c>
      <c r="M46">
        <v>1185</v>
      </c>
    </row>
    <row r="47" spans="1:13" x14ac:dyDescent="0.35">
      <c r="A47" t="s">
        <v>194</v>
      </c>
      <c r="B47">
        <v>1</v>
      </c>
      <c r="C47" t="s">
        <v>126</v>
      </c>
      <c r="D47" t="s">
        <v>131</v>
      </c>
      <c r="E47" t="s">
        <v>125</v>
      </c>
      <c r="F47" t="s">
        <v>124</v>
      </c>
      <c r="G47" t="s">
        <v>121</v>
      </c>
      <c r="H47" t="s">
        <v>129</v>
      </c>
      <c r="I47" t="s">
        <v>223</v>
      </c>
      <c r="J47" t="s">
        <v>146</v>
      </c>
      <c r="K47" t="s">
        <v>125</v>
      </c>
      <c r="L47">
        <v>29</v>
      </c>
      <c r="M47">
        <v>1175</v>
      </c>
    </row>
    <row r="48" spans="1:13" x14ac:dyDescent="0.35">
      <c r="A48" t="s">
        <v>195</v>
      </c>
      <c r="B48">
        <v>1</v>
      </c>
      <c r="C48" t="s">
        <v>126</v>
      </c>
      <c r="D48" t="s">
        <v>131</v>
      </c>
      <c r="E48" t="s">
        <v>125</v>
      </c>
      <c r="F48" t="s">
        <v>130</v>
      </c>
      <c r="G48" t="s">
        <v>147</v>
      </c>
      <c r="H48" t="s">
        <v>129</v>
      </c>
      <c r="I48" t="s">
        <v>123</v>
      </c>
      <c r="J48" t="s">
        <v>132</v>
      </c>
      <c r="K48" t="s">
        <v>125</v>
      </c>
      <c r="L48">
        <v>27</v>
      </c>
      <c r="M48">
        <v>1161</v>
      </c>
    </row>
    <row r="49" spans="1:13" x14ac:dyDescent="0.35">
      <c r="A49" t="s">
        <v>144</v>
      </c>
      <c r="B49">
        <v>1</v>
      </c>
      <c r="C49" t="s">
        <v>126</v>
      </c>
      <c r="D49" t="s">
        <v>131</v>
      </c>
      <c r="E49" t="s">
        <v>125</v>
      </c>
      <c r="F49" t="s">
        <v>124</v>
      </c>
      <c r="G49" t="s">
        <v>121</v>
      </c>
      <c r="H49" t="s">
        <v>129</v>
      </c>
      <c r="I49" t="s">
        <v>123</v>
      </c>
      <c r="J49" t="s">
        <v>146</v>
      </c>
      <c r="K49" t="s">
        <v>125</v>
      </c>
      <c r="L49">
        <v>31</v>
      </c>
      <c r="M49">
        <v>1147</v>
      </c>
    </row>
    <row r="50" spans="1:13" x14ac:dyDescent="0.35">
      <c r="A50" t="s">
        <v>196</v>
      </c>
      <c r="B50">
        <v>1</v>
      </c>
      <c r="C50" t="s">
        <v>126</v>
      </c>
      <c r="D50" t="s">
        <v>131</v>
      </c>
      <c r="E50" t="s">
        <v>125</v>
      </c>
      <c r="F50" t="s">
        <v>124</v>
      </c>
      <c r="G50" t="s">
        <v>147</v>
      </c>
      <c r="H50" t="s">
        <v>129</v>
      </c>
      <c r="I50" t="s">
        <v>123</v>
      </c>
      <c r="J50" t="s">
        <v>146</v>
      </c>
      <c r="K50" t="s">
        <v>125</v>
      </c>
      <c r="L50">
        <v>31</v>
      </c>
      <c r="M50">
        <v>1203</v>
      </c>
    </row>
    <row r="51" spans="1:13" x14ac:dyDescent="0.35">
      <c r="A51" t="s">
        <v>197</v>
      </c>
      <c r="B51">
        <v>1</v>
      </c>
      <c r="C51" t="s">
        <v>126</v>
      </c>
      <c r="D51" t="s">
        <v>131</v>
      </c>
      <c r="E51" t="s">
        <v>125</v>
      </c>
      <c r="F51" t="s">
        <v>130</v>
      </c>
      <c r="G51" t="s">
        <v>121</v>
      </c>
      <c r="H51" t="s">
        <v>129</v>
      </c>
      <c r="I51" t="s">
        <v>223</v>
      </c>
      <c r="J51" t="s">
        <v>132</v>
      </c>
      <c r="K51" t="s">
        <v>132</v>
      </c>
      <c r="L51">
        <v>23</v>
      </c>
      <c r="M51">
        <v>1123</v>
      </c>
    </row>
    <row r="52" spans="1:13" x14ac:dyDescent="0.35">
      <c r="A52" t="s">
        <v>198</v>
      </c>
      <c r="B52">
        <v>1</v>
      </c>
      <c r="C52" t="s">
        <v>126</v>
      </c>
      <c r="D52" t="s">
        <v>131</v>
      </c>
      <c r="E52" t="s">
        <v>125</v>
      </c>
      <c r="F52" t="s">
        <v>124</v>
      </c>
      <c r="G52" t="s">
        <v>121</v>
      </c>
      <c r="H52" t="s">
        <v>129</v>
      </c>
      <c r="I52" t="s">
        <v>123</v>
      </c>
      <c r="J52" t="s">
        <v>132</v>
      </c>
      <c r="K52" t="s">
        <v>125</v>
      </c>
      <c r="L52">
        <v>31</v>
      </c>
      <c r="M52">
        <v>1177</v>
      </c>
    </row>
    <row r="53" spans="1:13" x14ac:dyDescent="0.35">
      <c r="A53" t="s">
        <v>199</v>
      </c>
      <c r="B53">
        <v>1</v>
      </c>
      <c r="C53" t="s">
        <v>122</v>
      </c>
      <c r="D53" t="s">
        <v>127</v>
      </c>
      <c r="E53" t="s">
        <v>125</v>
      </c>
      <c r="F53" t="s">
        <v>124</v>
      </c>
      <c r="G53" t="s">
        <v>121</v>
      </c>
      <c r="H53" t="s">
        <v>129</v>
      </c>
      <c r="I53" t="s">
        <v>123</v>
      </c>
      <c r="J53" t="s">
        <v>132</v>
      </c>
      <c r="K53" t="s">
        <v>125</v>
      </c>
      <c r="L53">
        <v>28</v>
      </c>
      <c r="M53">
        <v>1189</v>
      </c>
    </row>
    <row r="54" spans="1:13" x14ac:dyDescent="0.35">
      <c r="A54" t="s">
        <v>200</v>
      </c>
      <c r="B54">
        <v>1</v>
      </c>
      <c r="C54" t="s">
        <v>122</v>
      </c>
      <c r="D54" t="s">
        <v>131</v>
      </c>
      <c r="E54" t="s">
        <v>125</v>
      </c>
      <c r="F54" t="s">
        <v>124</v>
      </c>
      <c r="G54" t="s">
        <v>121</v>
      </c>
      <c r="H54" t="s">
        <v>129</v>
      </c>
      <c r="I54" t="s">
        <v>123</v>
      </c>
      <c r="J54" t="s">
        <v>132</v>
      </c>
      <c r="K54" t="s">
        <v>122</v>
      </c>
      <c r="L54">
        <v>18</v>
      </c>
      <c r="M54">
        <v>1115</v>
      </c>
    </row>
    <row r="55" spans="1:13" x14ac:dyDescent="0.35">
      <c r="A55" t="s">
        <v>201</v>
      </c>
      <c r="B55">
        <v>1</v>
      </c>
      <c r="C55" t="s">
        <v>122</v>
      </c>
      <c r="D55" t="s">
        <v>131</v>
      </c>
      <c r="E55" t="s">
        <v>125</v>
      </c>
      <c r="F55" t="s">
        <v>124</v>
      </c>
      <c r="G55" t="s">
        <v>147</v>
      </c>
      <c r="H55" t="s">
        <v>129</v>
      </c>
      <c r="I55" t="s">
        <v>123</v>
      </c>
      <c r="J55" t="s">
        <v>132</v>
      </c>
      <c r="K55" t="s">
        <v>123</v>
      </c>
      <c r="L55">
        <v>32</v>
      </c>
      <c r="M55">
        <v>1203</v>
      </c>
    </row>
    <row r="56" spans="1:13" x14ac:dyDescent="0.35">
      <c r="A56" t="s">
        <v>202</v>
      </c>
      <c r="B56">
        <v>1</v>
      </c>
      <c r="C56" t="s">
        <v>126</v>
      </c>
      <c r="D56" t="s">
        <v>131</v>
      </c>
      <c r="E56" t="s">
        <v>125</v>
      </c>
      <c r="F56" t="s">
        <v>124</v>
      </c>
      <c r="G56" t="s">
        <v>147</v>
      </c>
      <c r="H56" t="s">
        <v>129</v>
      </c>
      <c r="I56" t="s">
        <v>123</v>
      </c>
      <c r="J56" t="s">
        <v>146</v>
      </c>
      <c r="K56" t="s">
        <v>125</v>
      </c>
      <c r="L56">
        <v>25</v>
      </c>
      <c r="M56">
        <v>1045</v>
      </c>
    </row>
    <row r="57" spans="1:13" x14ac:dyDescent="0.35">
      <c r="A57" t="s">
        <v>232</v>
      </c>
      <c r="B57">
        <v>0</v>
      </c>
      <c r="C57" t="s">
        <v>84</v>
      </c>
      <c r="D57" t="s">
        <v>84</v>
      </c>
      <c r="E57" t="s">
        <v>84</v>
      </c>
      <c r="F57" t="s">
        <v>84</v>
      </c>
      <c r="G57" t="s">
        <v>84</v>
      </c>
      <c r="H57" t="s">
        <v>84</v>
      </c>
      <c r="I57" t="s">
        <v>84</v>
      </c>
      <c r="J57" t="s">
        <v>84</v>
      </c>
      <c r="K57" t="s">
        <v>84</v>
      </c>
      <c r="L57" t="s">
        <v>84</v>
      </c>
      <c r="M57" t="s">
        <v>84</v>
      </c>
    </row>
    <row r="58" spans="1:13" x14ac:dyDescent="0.35">
      <c r="A58" t="s">
        <v>232</v>
      </c>
      <c r="B58">
        <v>0</v>
      </c>
      <c r="C58" t="s">
        <v>84</v>
      </c>
      <c r="D58" t="s">
        <v>84</v>
      </c>
      <c r="E58" t="s">
        <v>84</v>
      </c>
      <c r="F58" t="s">
        <v>84</v>
      </c>
      <c r="G58" t="s">
        <v>84</v>
      </c>
      <c r="H58" t="s">
        <v>84</v>
      </c>
      <c r="I58" t="s">
        <v>84</v>
      </c>
      <c r="J58" t="s">
        <v>84</v>
      </c>
      <c r="K58" t="s">
        <v>84</v>
      </c>
      <c r="L58" t="s">
        <v>84</v>
      </c>
      <c r="M58" t="s">
        <v>84</v>
      </c>
    </row>
    <row r="59" spans="1:13" x14ac:dyDescent="0.35">
      <c r="A59" t="s">
        <v>232</v>
      </c>
      <c r="B59">
        <v>0</v>
      </c>
      <c r="C59" t="s">
        <v>84</v>
      </c>
      <c r="D59" t="s">
        <v>84</v>
      </c>
      <c r="E59" t="s">
        <v>84</v>
      </c>
      <c r="F59" t="s">
        <v>84</v>
      </c>
      <c r="G59" t="s">
        <v>84</v>
      </c>
      <c r="H59" t="s">
        <v>84</v>
      </c>
      <c r="I59" t="s">
        <v>84</v>
      </c>
      <c r="J59" t="s">
        <v>84</v>
      </c>
      <c r="K59" t="s">
        <v>84</v>
      </c>
      <c r="L59" t="s">
        <v>84</v>
      </c>
      <c r="M59" t="s">
        <v>84</v>
      </c>
    </row>
    <row r="60" spans="1:13" x14ac:dyDescent="0.35">
      <c r="A60" t="s">
        <v>232</v>
      </c>
      <c r="B60">
        <v>0</v>
      </c>
      <c r="C60" t="s">
        <v>84</v>
      </c>
      <c r="D60" t="s">
        <v>84</v>
      </c>
      <c r="E60" t="s">
        <v>84</v>
      </c>
      <c r="F60" t="s">
        <v>84</v>
      </c>
      <c r="G60" t="s">
        <v>84</v>
      </c>
      <c r="H60" t="s">
        <v>84</v>
      </c>
      <c r="I60" t="s">
        <v>84</v>
      </c>
      <c r="J60" t="s">
        <v>84</v>
      </c>
      <c r="K60" t="s">
        <v>84</v>
      </c>
      <c r="L60" t="s">
        <v>84</v>
      </c>
      <c r="M60" t="s">
        <v>84</v>
      </c>
    </row>
    <row r="61" spans="1:13" x14ac:dyDescent="0.35">
      <c r="A61" t="s">
        <v>232</v>
      </c>
      <c r="B61">
        <v>0</v>
      </c>
      <c r="C61" t="s">
        <v>84</v>
      </c>
      <c r="D61" t="s">
        <v>84</v>
      </c>
      <c r="E61" t="s">
        <v>84</v>
      </c>
      <c r="F61" t="s">
        <v>84</v>
      </c>
      <c r="G61" t="s">
        <v>84</v>
      </c>
      <c r="H61" t="s">
        <v>84</v>
      </c>
      <c r="I61" t="s">
        <v>84</v>
      </c>
      <c r="J61" t="s">
        <v>84</v>
      </c>
      <c r="K61" t="s">
        <v>84</v>
      </c>
      <c r="L61" t="s">
        <v>84</v>
      </c>
      <c r="M61" t="s">
        <v>84</v>
      </c>
    </row>
    <row r="62" spans="1:13" x14ac:dyDescent="0.35">
      <c r="A62" t="s">
        <v>232</v>
      </c>
      <c r="B62">
        <v>0</v>
      </c>
      <c r="C62" t="s">
        <v>84</v>
      </c>
      <c r="D62" t="s">
        <v>84</v>
      </c>
      <c r="E62" t="s">
        <v>84</v>
      </c>
      <c r="F62" t="s">
        <v>84</v>
      </c>
      <c r="G62" t="s">
        <v>84</v>
      </c>
      <c r="H62" t="s">
        <v>84</v>
      </c>
      <c r="I62" t="s">
        <v>84</v>
      </c>
      <c r="J62" t="s">
        <v>84</v>
      </c>
      <c r="K62" t="s">
        <v>84</v>
      </c>
      <c r="L62" t="s">
        <v>84</v>
      </c>
      <c r="M62" t="s">
        <v>84</v>
      </c>
    </row>
    <row r="63" spans="1:13" x14ac:dyDescent="0.35">
      <c r="A63" t="s">
        <v>232</v>
      </c>
      <c r="B63">
        <v>0</v>
      </c>
      <c r="C63" t="s">
        <v>84</v>
      </c>
      <c r="D63" t="s">
        <v>84</v>
      </c>
      <c r="E63" t="s">
        <v>84</v>
      </c>
      <c r="F63" t="s">
        <v>84</v>
      </c>
      <c r="G63" t="s">
        <v>84</v>
      </c>
      <c r="H63" t="s">
        <v>84</v>
      </c>
      <c r="I63" t="s">
        <v>84</v>
      </c>
      <c r="J63" t="s">
        <v>84</v>
      </c>
      <c r="K63" t="s">
        <v>84</v>
      </c>
      <c r="L63" t="s">
        <v>84</v>
      </c>
      <c r="M63" t="s">
        <v>84</v>
      </c>
    </row>
    <row r="64" spans="1:13" x14ac:dyDescent="0.35">
      <c r="A64" t="s">
        <v>232</v>
      </c>
      <c r="B64">
        <v>0</v>
      </c>
      <c r="C64" t="s">
        <v>84</v>
      </c>
      <c r="D64" t="s">
        <v>84</v>
      </c>
      <c r="E64" t="s">
        <v>84</v>
      </c>
      <c r="F64" t="s">
        <v>84</v>
      </c>
      <c r="G64" t="s">
        <v>84</v>
      </c>
      <c r="H64" t="s">
        <v>84</v>
      </c>
      <c r="I64" t="s">
        <v>84</v>
      </c>
      <c r="J64" t="s">
        <v>84</v>
      </c>
      <c r="K64" t="s">
        <v>84</v>
      </c>
      <c r="L64" t="s">
        <v>84</v>
      </c>
      <c r="M64" t="s">
        <v>84</v>
      </c>
    </row>
    <row r="65" spans="1:13" x14ac:dyDescent="0.35">
      <c r="A65" t="s">
        <v>232</v>
      </c>
      <c r="B65">
        <v>0</v>
      </c>
      <c r="C65" t="s">
        <v>84</v>
      </c>
      <c r="D65" t="s">
        <v>84</v>
      </c>
      <c r="E65" t="s">
        <v>84</v>
      </c>
      <c r="F65" t="s">
        <v>84</v>
      </c>
      <c r="G65" t="s">
        <v>84</v>
      </c>
      <c r="H65" t="s">
        <v>84</v>
      </c>
      <c r="I65" t="s">
        <v>84</v>
      </c>
      <c r="J65" t="s">
        <v>84</v>
      </c>
      <c r="K65" t="s">
        <v>84</v>
      </c>
      <c r="L65" t="s">
        <v>84</v>
      </c>
      <c r="M65" t="s">
        <v>84</v>
      </c>
    </row>
    <row r="66" spans="1:13" x14ac:dyDescent="0.35">
      <c r="A66" t="s">
        <v>232</v>
      </c>
      <c r="B66">
        <v>0</v>
      </c>
      <c r="C66" t="s">
        <v>84</v>
      </c>
      <c r="D66" t="s">
        <v>84</v>
      </c>
      <c r="E66" t="s">
        <v>84</v>
      </c>
      <c r="F66" t="s">
        <v>84</v>
      </c>
      <c r="G66" t="s">
        <v>84</v>
      </c>
      <c r="H66" t="s">
        <v>84</v>
      </c>
      <c r="I66" t="s">
        <v>84</v>
      </c>
      <c r="J66" t="s">
        <v>84</v>
      </c>
      <c r="K66" t="s">
        <v>84</v>
      </c>
      <c r="L66" t="s">
        <v>84</v>
      </c>
      <c r="M66" t="s">
        <v>84</v>
      </c>
    </row>
    <row r="67" spans="1:13" x14ac:dyDescent="0.35">
      <c r="A67" t="s">
        <v>232</v>
      </c>
      <c r="B67">
        <v>0</v>
      </c>
      <c r="C67" t="s">
        <v>84</v>
      </c>
      <c r="D67" t="s">
        <v>84</v>
      </c>
      <c r="E67" t="s">
        <v>84</v>
      </c>
      <c r="F67" t="s">
        <v>84</v>
      </c>
      <c r="G67" t="s">
        <v>84</v>
      </c>
      <c r="H67" t="s">
        <v>84</v>
      </c>
      <c r="I67" t="s">
        <v>84</v>
      </c>
      <c r="J67" t="s">
        <v>84</v>
      </c>
      <c r="K67" t="s">
        <v>84</v>
      </c>
      <c r="L67" t="s">
        <v>84</v>
      </c>
      <c r="M67" t="s">
        <v>84</v>
      </c>
    </row>
    <row r="68" spans="1:13" x14ac:dyDescent="0.35">
      <c r="A68" t="s">
        <v>232</v>
      </c>
      <c r="B68">
        <v>0</v>
      </c>
      <c r="C68" t="s">
        <v>84</v>
      </c>
      <c r="D68" t="s">
        <v>84</v>
      </c>
      <c r="E68" t="s">
        <v>84</v>
      </c>
      <c r="F68" t="s">
        <v>84</v>
      </c>
      <c r="G68" t="s">
        <v>84</v>
      </c>
      <c r="H68" t="s">
        <v>84</v>
      </c>
      <c r="I68" t="s">
        <v>84</v>
      </c>
      <c r="J68" t="s">
        <v>84</v>
      </c>
      <c r="K68" t="s">
        <v>84</v>
      </c>
      <c r="L68" t="s">
        <v>84</v>
      </c>
      <c r="M68" t="s">
        <v>84</v>
      </c>
    </row>
    <row r="69" spans="1:13" x14ac:dyDescent="0.35">
      <c r="A69" t="s">
        <v>232</v>
      </c>
      <c r="B69">
        <v>0</v>
      </c>
      <c r="C69" t="s">
        <v>84</v>
      </c>
      <c r="D69" t="s">
        <v>84</v>
      </c>
      <c r="E69" t="s">
        <v>84</v>
      </c>
      <c r="F69" t="s">
        <v>84</v>
      </c>
      <c r="G69" t="s">
        <v>84</v>
      </c>
      <c r="H69" t="s">
        <v>84</v>
      </c>
      <c r="I69" t="s">
        <v>84</v>
      </c>
      <c r="J69" t="s">
        <v>84</v>
      </c>
      <c r="K69" t="s">
        <v>84</v>
      </c>
      <c r="L69" t="s">
        <v>84</v>
      </c>
      <c r="M69" t="s">
        <v>84</v>
      </c>
    </row>
    <row r="70" spans="1:13" x14ac:dyDescent="0.35">
      <c r="A70" t="s">
        <v>232</v>
      </c>
      <c r="B70">
        <v>0</v>
      </c>
      <c r="C70" t="s">
        <v>84</v>
      </c>
      <c r="D70" t="s">
        <v>84</v>
      </c>
      <c r="E70" t="s">
        <v>84</v>
      </c>
      <c r="F70" t="s">
        <v>84</v>
      </c>
      <c r="G70" t="s">
        <v>84</v>
      </c>
      <c r="H70" t="s">
        <v>84</v>
      </c>
      <c r="I70" t="s">
        <v>84</v>
      </c>
      <c r="J70" t="s">
        <v>84</v>
      </c>
      <c r="K70" t="s">
        <v>84</v>
      </c>
      <c r="L70" t="s">
        <v>84</v>
      </c>
      <c r="M70" t="s">
        <v>84</v>
      </c>
    </row>
    <row r="71" spans="1:13" x14ac:dyDescent="0.35">
      <c r="A71" t="s">
        <v>232</v>
      </c>
      <c r="B71">
        <v>0</v>
      </c>
      <c r="C71" t="s">
        <v>84</v>
      </c>
      <c r="D71" t="s">
        <v>84</v>
      </c>
      <c r="E71" t="s">
        <v>84</v>
      </c>
      <c r="F71" t="s">
        <v>84</v>
      </c>
      <c r="G71" t="s">
        <v>84</v>
      </c>
      <c r="H71" t="s">
        <v>84</v>
      </c>
      <c r="I71" t="s">
        <v>84</v>
      </c>
      <c r="J71" t="s">
        <v>84</v>
      </c>
      <c r="K71" t="s">
        <v>84</v>
      </c>
      <c r="L71" t="s">
        <v>84</v>
      </c>
      <c r="M71" t="s">
        <v>84</v>
      </c>
    </row>
    <row r="72" spans="1:13" x14ac:dyDescent="0.35">
      <c r="A72" t="s">
        <v>232</v>
      </c>
      <c r="B72">
        <v>0</v>
      </c>
      <c r="C72" t="s">
        <v>84</v>
      </c>
      <c r="D72" t="s">
        <v>84</v>
      </c>
      <c r="E72" t="s">
        <v>84</v>
      </c>
      <c r="F72" t="s">
        <v>84</v>
      </c>
      <c r="G72" t="s">
        <v>84</v>
      </c>
      <c r="H72" t="s">
        <v>84</v>
      </c>
      <c r="I72" t="s">
        <v>84</v>
      </c>
      <c r="J72" t="s">
        <v>84</v>
      </c>
      <c r="K72" t="s">
        <v>84</v>
      </c>
      <c r="L72" t="s">
        <v>84</v>
      </c>
      <c r="M72" t="s">
        <v>84</v>
      </c>
    </row>
    <row r="73" spans="1:13" x14ac:dyDescent="0.35">
      <c r="A73" t="s">
        <v>232</v>
      </c>
      <c r="B73">
        <v>0</v>
      </c>
      <c r="C73" t="s">
        <v>84</v>
      </c>
      <c r="D73" t="s">
        <v>84</v>
      </c>
      <c r="E73" t="s">
        <v>84</v>
      </c>
      <c r="F73" t="s">
        <v>84</v>
      </c>
      <c r="G73" t="s">
        <v>84</v>
      </c>
      <c r="H73" t="s">
        <v>84</v>
      </c>
      <c r="I73" t="s">
        <v>84</v>
      </c>
      <c r="J73" t="s">
        <v>84</v>
      </c>
      <c r="K73" t="s">
        <v>84</v>
      </c>
      <c r="L73" t="s">
        <v>84</v>
      </c>
      <c r="M73" t="s">
        <v>84</v>
      </c>
    </row>
    <row r="74" spans="1:13" x14ac:dyDescent="0.35">
      <c r="A74" t="s">
        <v>232</v>
      </c>
      <c r="B74">
        <v>0</v>
      </c>
      <c r="C74" t="s">
        <v>84</v>
      </c>
      <c r="D74" t="s">
        <v>84</v>
      </c>
      <c r="E74" t="s">
        <v>84</v>
      </c>
      <c r="F74" t="s">
        <v>84</v>
      </c>
      <c r="G74" t="s">
        <v>84</v>
      </c>
      <c r="H74" t="s">
        <v>84</v>
      </c>
      <c r="I74" t="s">
        <v>84</v>
      </c>
      <c r="J74" t="s">
        <v>84</v>
      </c>
      <c r="K74" t="s">
        <v>84</v>
      </c>
      <c r="L74" t="s">
        <v>84</v>
      </c>
      <c r="M74" t="s">
        <v>84</v>
      </c>
    </row>
    <row r="75" spans="1:13" x14ac:dyDescent="0.35">
      <c r="A75" t="s">
        <v>232</v>
      </c>
      <c r="B75">
        <v>0</v>
      </c>
      <c r="C75" t="s">
        <v>84</v>
      </c>
      <c r="D75" t="s">
        <v>84</v>
      </c>
      <c r="E75" t="s">
        <v>84</v>
      </c>
      <c r="F75" t="s">
        <v>84</v>
      </c>
      <c r="G75" t="s">
        <v>84</v>
      </c>
      <c r="H75" t="s">
        <v>84</v>
      </c>
      <c r="I75" t="s">
        <v>84</v>
      </c>
      <c r="J75" t="s">
        <v>84</v>
      </c>
      <c r="K75" t="s">
        <v>84</v>
      </c>
      <c r="L75" t="s">
        <v>84</v>
      </c>
      <c r="M75" t="s">
        <v>84</v>
      </c>
    </row>
    <row r="76" spans="1:13" x14ac:dyDescent="0.35">
      <c r="A76" t="s">
        <v>232</v>
      </c>
      <c r="B76">
        <v>0</v>
      </c>
      <c r="C76" t="s">
        <v>84</v>
      </c>
      <c r="D76" t="s">
        <v>84</v>
      </c>
      <c r="E76" t="s">
        <v>84</v>
      </c>
      <c r="F76" t="s">
        <v>84</v>
      </c>
      <c r="G76" t="s">
        <v>84</v>
      </c>
      <c r="H76" t="s">
        <v>84</v>
      </c>
      <c r="I76" t="s">
        <v>84</v>
      </c>
      <c r="J76" t="s">
        <v>84</v>
      </c>
      <c r="K76" t="s">
        <v>84</v>
      </c>
      <c r="L76" t="s">
        <v>84</v>
      </c>
      <c r="M76" t="s">
        <v>84</v>
      </c>
    </row>
    <row r="77" spans="1:13" x14ac:dyDescent="0.35">
      <c r="A77" t="s">
        <v>232</v>
      </c>
      <c r="B77">
        <v>0</v>
      </c>
      <c r="C77" t="s">
        <v>84</v>
      </c>
      <c r="D77" t="s">
        <v>84</v>
      </c>
      <c r="E77" t="s">
        <v>84</v>
      </c>
      <c r="F77" t="s">
        <v>84</v>
      </c>
      <c r="G77" t="s">
        <v>84</v>
      </c>
      <c r="H77" t="s">
        <v>84</v>
      </c>
      <c r="I77" t="s">
        <v>84</v>
      </c>
      <c r="J77" t="s">
        <v>84</v>
      </c>
      <c r="K77" t="s">
        <v>84</v>
      </c>
      <c r="L77" t="s">
        <v>84</v>
      </c>
      <c r="M77" t="s">
        <v>84</v>
      </c>
    </row>
    <row r="78" spans="1:13" x14ac:dyDescent="0.35">
      <c r="A78" t="s">
        <v>232</v>
      </c>
      <c r="B78">
        <v>0</v>
      </c>
      <c r="C78" t="s">
        <v>84</v>
      </c>
      <c r="D78" t="s">
        <v>84</v>
      </c>
      <c r="E78" t="s">
        <v>84</v>
      </c>
      <c r="F78" t="s">
        <v>84</v>
      </c>
      <c r="G78" t="s">
        <v>84</v>
      </c>
      <c r="H78" t="s">
        <v>84</v>
      </c>
      <c r="I78" t="s">
        <v>84</v>
      </c>
      <c r="J78" t="s">
        <v>84</v>
      </c>
      <c r="K78" t="s">
        <v>84</v>
      </c>
      <c r="L78" t="s">
        <v>84</v>
      </c>
      <c r="M78" t="s">
        <v>84</v>
      </c>
    </row>
    <row r="79" spans="1:13" x14ac:dyDescent="0.35">
      <c r="A79" t="s">
        <v>232</v>
      </c>
      <c r="B79">
        <v>0</v>
      </c>
      <c r="C79" t="s">
        <v>84</v>
      </c>
      <c r="D79" t="s">
        <v>84</v>
      </c>
      <c r="E79" t="s">
        <v>84</v>
      </c>
      <c r="F79" t="s">
        <v>84</v>
      </c>
      <c r="G79" t="s">
        <v>84</v>
      </c>
      <c r="H79" t="s">
        <v>84</v>
      </c>
      <c r="I79" t="s">
        <v>84</v>
      </c>
      <c r="J79" t="s">
        <v>84</v>
      </c>
      <c r="K79" t="s">
        <v>84</v>
      </c>
      <c r="L79" t="s">
        <v>84</v>
      </c>
      <c r="M79" t="s">
        <v>84</v>
      </c>
    </row>
    <row r="80" spans="1:13" x14ac:dyDescent="0.35">
      <c r="A80" t="s">
        <v>232</v>
      </c>
      <c r="B80">
        <v>0</v>
      </c>
      <c r="C80" t="s">
        <v>84</v>
      </c>
      <c r="D80" t="s">
        <v>84</v>
      </c>
      <c r="E80" t="s">
        <v>84</v>
      </c>
      <c r="F80" t="s">
        <v>84</v>
      </c>
      <c r="G80" t="s">
        <v>84</v>
      </c>
      <c r="H80" t="s">
        <v>84</v>
      </c>
      <c r="I80" t="s">
        <v>84</v>
      </c>
      <c r="J80" t="s">
        <v>84</v>
      </c>
      <c r="K80" t="s">
        <v>84</v>
      </c>
      <c r="L80" t="s">
        <v>84</v>
      </c>
      <c r="M80" t="s">
        <v>84</v>
      </c>
    </row>
    <row r="81" spans="1:13" x14ac:dyDescent="0.35">
      <c r="A81" t="s">
        <v>232</v>
      </c>
      <c r="B81">
        <v>0</v>
      </c>
      <c r="C81" t="s">
        <v>84</v>
      </c>
      <c r="D81" t="s">
        <v>84</v>
      </c>
      <c r="E81" t="s">
        <v>84</v>
      </c>
      <c r="F81" t="s">
        <v>84</v>
      </c>
      <c r="G81" t="s">
        <v>84</v>
      </c>
      <c r="H81" t="s">
        <v>84</v>
      </c>
      <c r="I81" t="s">
        <v>84</v>
      </c>
      <c r="J81" t="s">
        <v>84</v>
      </c>
      <c r="K81" t="s">
        <v>84</v>
      </c>
      <c r="L81" t="s">
        <v>84</v>
      </c>
      <c r="M81" t="s">
        <v>84</v>
      </c>
    </row>
    <row r="82" spans="1:13" x14ac:dyDescent="0.35">
      <c r="A82" t="s">
        <v>232</v>
      </c>
      <c r="B82">
        <v>0</v>
      </c>
      <c r="C82" t="s">
        <v>84</v>
      </c>
      <c r="D82" t="s">
        <v>84</v>
      </c>
      <c r="E82" t="s">
        <v>84</v>
      </c>
      <c r="F82" t="s">
        <v>84</v>
      </c>
      <c r="G82" t="s">
        <v>84</v>
      </c>
      <c r="H82" t="s">
        <v>84</v>
      </c>
      <c r="I82" t="s">
        <v>84</v>
      </c>
      <c r="J82" t="s">
        <v>84</v>
      </c>
      <c r="K82" t="s">
        <v>84</v>
      </c>
      <c r="L82" t="s">
        <v>84</v>
      </c>
      <c r="M82" t="s">
        <v>84</v>
      </c>
    </row>
    <row r="83" spans="1:13" x14ac:dyDescent="0.35">
      <c r="A83" t="s">
        <v>232</v>
      </c>
      <c r="B83">
        <v>0</v>
      </c>
      <c r="C83" t="s">
        <v>84</v>
      </c>
      <c r="D83" t="s">
        <v>84</v>
      </c>
      <c r="E83" t="s">
        <v>84</v>
      </c>
      <c r="F83" t="s">
        <v>84</v>
      </c>
      <c r="G83" t="s">
        <v>84</v>
      </c>
      <c r="H83" t="s">
        <v>84</v>
      </c>
      <c r="I83" t="s">
        <v>84</v>
      </c>
      <c r="J83" t="s">
        <v>84</v>
      </c>
      <c r="K83" t="s">
        <v>84</v>
      </c>
      <c r="L83" t="s">
        <v>84</v>
      </c>
      <c r="M83" t="s">
        <v>84</v>
      </c>
    </row>
    <row r="84" spans="1:13" x14ac:dyDescent="0.35">
      <c r="A84" t="s">
        <v>232</v>
      </c>
      <c r="B84">
        <v>0</v>
      </c>
      <c r="C84" t="s">
        <v>84</v>
      </c>
      <c r="D84" t="s">
        <v>84</v>
      </c>
      <c r="E84" t="s">
        <v>84</v>
      </c>
      <c r="F84" t="s">
        <v>84</v>
      </c>
      <c r="G84" t="s">
        <v>84</v>
      </c>
      <c r="H84" t="s">
        <v>84</v>
      </c>
      <c r="I84" t="s">
        <v>84</v>
      </c>
      <c r="J84" t="s">
        <v>84</v>
      </c>
      <c r="K84" t="s">
        <v>84</v>
      </c>
      <c r="L84" t="s">
        <v>84</v>
      </c>
      <c r="M84" t="s">
        <v>84</v>
      </c>
    </row>
    <row r="85" spans="1:13" x14ac:dyDescent="0.35">
      <c r="A85" t="s">
        <v>232</v>
      </c>
      <c r="B85">
        <v>0</v>
      </c>
      <c r="C85" t="s">
        <v>84</v>
      </c>
      <c r="D85" t="s">
        <v>84</v>
      </c>
      <c r="E85" t="s">
        <v>84</v>
      </c>
      <c r="F85" t="s">
        <v>84</v>
      </c>
      <c r="G85" t="s">
        <v>84</v>
      </c>
      <c r="H85" t="s">
        <v>84</v>
      </c>
      <c r="I85" t="s">
        <v>84</v>
      </c>
      <c r="J85" t="s">
        <v>84</v>
      </c>
      <c r="K85" t="s">
        <v>84</v>
      </c>
      <c r="L85" t="s">
        <v>84</v>
      </c>
      <c r="M85" t="s">
        <v>84</v>
      </c>
    </row>
    <row r="86" spans="1:13" x14ac:dyDescent="0.35">
      <c r="A86" t="s">
        <v>232</v>
      </c>
      <c r="B86">
        <v>0</v>
      </c>
      <c r="C86" t="s">
        <v>84</v>
      </c>
      <c r="D86" t="s">
        <v>84</v>
      </c>
      <c r="E86" t="s">
        <v>84</v>
      </c>
      <c r="F86" t="s">
        <v>84</v>
      </c>
      <c r="G86" t="s">
        <v>84</v>
      </c>
      <c r="H86" t="s">
        <v>84</v>
      </c>
      <c r="I86" t="s">
        <v>84</v>
      </c>
      <c r="J86" t="s">
        <v>84</v>
      </c>
      <c r="K86" t="s">
        <v>84</v>
      </c>
      <c r="L86" t="s">
        <v>84</v>
      </c>
      <c r="M86" t="s">
        <v>84</v>
      </c>
    </row>
    <row r="87" spans="1:13" x14ac:dyDescent="0.35">
      <c r="A87" t="s">
        <v>232</v>
      </c>
      <c r="B87">
        <v>0</v>
      </c>
      <c r="C87" t="s">
        <v>84</v>
      </c>
      <c r="D87" t="s">
        <v>84</v>
      </c>
      <c r="E87" t="s">
        <v>84</v>
      </c>
      <c r="F87" t="s">
        <v>84</v>
      </c>
      <c r="G87" t="s">
        <v>84</v>
      </c>
      <c r="H87" t="s">
        <v>84</v>
      </c>
      <c r="I87" t="s">
        <v>84</v>
      </c>
      <c r="J87" t="s">
        <v>84</v>
      </c>
      <c r="K87" t="s">
        <v>84</v>
      </c>
      <c r="L87" t="s">
        <v>84</v>
      </c>
      <c r="M87" t="s">
        <v>84</v>
      </c>
    </row>
    <row r="88" spans="1:13" x14ac:dyDescent="0.35">
      <c r="A88" t="s">
        <v>232</v>
      </c>
      <c r="B88">
        <v>0</v>
      </c>
      <c r="C88" t="s">
        <v>84</v>
      </c>
      <c r="D88" t="s">
        <v>84</v>
      </c>
      <c r="E88" t="s">
        <v>84</v>
      </c>
      <c r="F88" t="s">
        <v>84</v>
      </c>
      <c r="G88" t="s">
        <v>84</v>
      </c>
      <c r="H88" t="s">
        <v>84</v>
      </c>
      <c r="I88" t="s">
        <v>84</v>
      </c>
      <c r="J88" t="s">
        <v>84</v>
      </c>
      <c r="K88" t="s">
        <v>84</v>
      </c>
      <c r="L88" t="s">
        <v>84</v>
      </c>
      <c r="M88" t="s">
        <v>84</v>
      </c>
    </row>
    <row r="89" spans="1:13" x14ac:dyDescent="0.35">
      <c r="A89" t="s">
        <v>232</v>
      </c>
      <c r="B89">
        <v>0</v>
      </c>
      <c r="C89" t="s">
        <v>84</v>
      </c>
      <c r="D89" t="s">
        <v>84</v>
      </c>
      <c r="E89" t="s">
        <v>84</v>
      </c>
      <c r="F89" t="s">
        <v>84</v>
      </c>
      <c r="G89" t="s">
        <v>84</v>
      </c>
      <c r="H89" t="s">
        <v>84</v>
      </c>
      <c r="I89" t="s">
        <v>84</v>
      </c>
      <c r="J89" t="s">
        <v>84</v>
      </c>
      <c r="K89" t="s">
        <v>84</v>
      </c>
      <c r="L89" t="s">
        <v>84</v>
      </c>
      <c r="M89" t="s">
        <v>84</v>
      </c>
    </row>
    <row r="90" spans="1:13" x14ac:dyDescent="0.35">
      <c r="A90" t="s">
        <v>232</v>
      </c>
      <c r="B90">
        <v>0</v>
      </c>
      <c r="C90" t="s">
        <v>84</v>
      </c>
      <c r="D90" t="s">
        <v>84</v>
      </c>
      <c r="E90" t="s">
        <v>84</v>
      </c>
      <c r="F90" t="s">
        <v>84</v>
      </c>
      <c r="G90" t="s">
        <v>84</v>
      </c>
      <c r="H90" t="s">
        <v>84</v>
      </c>
      <c r="I90" t="s">
        <v>84</v>
      </c>
      <c r="J90" t="s">
        <v>84</v>
      </c>
      <c r="K90" t="s">
        <v>84</v>
      </c>
      <c r="L90" t="s">
        <v>84</v>
      </c>
      <c r="M90" t="s">
        <v>84</v>
      </c>
    </row>
    <row r="91" spans="1:13" x14ac:dyDescent="0.35">
      <c r="A91" t="s">
        <v>232</v>
      </c>
      <c r="B91">
        <v>0</v>
      </c>
      <c r="C91" t="s">
        <v>84</v>
      </c>
      <c r="D91" t="s">
        <v>84</v>
      </c>
      <c r="E91" t="s">
        <v>84</v>
      </c>
      <c r="F91" t="s">
        <v>84</v>
      </c>
      <c r="G91" t="s">
        <v>84</v>
      </c>
      <c r="H91" t="s">
        <v>84</v>
      </c>
      <c r="I91" t="s">
        <v>84</v>
      </c>
      <c r="J91" t="s">
        <v>84</v>
      </c>
      <c r="K91" t="s">
        <v>84</v>
      </c>
      <c r="L91" t="s">
        <v>84</v>
      </c>
      <c r="M91" t="s">
        <v>84</v>
      </c>
    </row>
    <row r="92" spans="1:13" x14ac:dyDescent="0.35">
      <c r="A92" t="s">
        <v>232</v>
      </c>
      <c r="B92">
        <v>0</v>
      </c>
      <c r="C92" t="s">
        <v>84</v>
      </c>
      <c r="D92" t="s">
        <v>84</v>
      </c>
      <c r="E92" t="s">
        <v>84</v>
      </c>
      <c r="F92" t="s">
        <v>84</v>
      </c>
      <c r="G92" t="s">
        <v>84</v>
      </c>
      <c r="H92" t="s">
        <v>84</v>
      </c>
      <c r="I92" t="s">
        <v>84</v>
      </c>
      <c r="J92" t="s">
        <v>84</v>
      </c>
      <c r="K92" t="s">
        <v>84</v>
      </c>
      <c r="L92" t="s">
        <v>84</v>
      </c>
      <c r="M92" t="s">
        <v>84</v>
      </c>
    </row>
    <row r="93" spans="1:13" x14ac:dyDescent="0.35">
      <c r="A93" t="s">
        <v>232</v>
      </c>
      <c r="B93">
        <v>0</v>
      </c>
      <c r="C93" t="s">
        <v>84</v>
      </c>
      <c r="D93" t="s">
        <v>84</v>
      </c>
      <c r="E93" t="s">
        <v>84</v>
      </c>
      <c r="F93" t="s">
        <v>84</v>
      </c>
      <c r="G93" t="s">
        <v>84</v>
      </c>
      <c r="H93" t="s">
        <v>84</v>
      </c>
      <c r="I93" t="s">
        <v>84</v>
      </c>
      <c r="J93" t="s">
        <v>84</v>
      </c>
      <c r="K93" t="s">
        <v>84</v>
      </c>
      <c r="L93" t="s">
        <v>84</v>
      </c>
      <c r="M93" t="s">
        <v>84</v>
      </c>
    </row>
    <row r="94" spans="1:13" x14ac:dyDescent="0.35">
      <c r="A94" t="s">
        <v>232</v>
      </c>
      <c r="B94">
        <v>0</v>
      </c>
      <c r="C94" t="s">
        <v>84</v>
      </c>
      <c r="D94" t="s">
        <v>84</v>
      </c>
      <c r="E94" t="s">
        <v>84</v>
      </c>
      <c r="F94" t="s">
        <v>84</v>
      </c>
      <c r="G94" t="s">
        <v>84</v>
      </c>
      <c r="H94" t="s">
        <v>84</v>
      </c>
      <c r="I94" t="s">
        <v>84</v>
      </c>
      <c r="J94" t="s">
        <v>84</v>
      </c>
      <c r="K94" t="s">
        <v>84</v>
      </c>
      <c r="L94" t="s">
        <v>84</v>
      </c>
      <c r="M94" t="s">
        <v>84</v>
      </c>
    </row>
    <row r="95" spans="1:13" x14ac:dyDescent="0.35">
      <c r="A95" t="s">
        <v>232</v>
      </c>
      <c r="B95">
        <v>0</v>
      </c>
      <c r="C95" t="s">
        <v>84</v>
      </c>
      <c r="D95" t="s">
        <v>84</v>
      </c>
      <c r="E95" t="s">
        <v>84</v>
      </c>
      <c r="F95" t="s">
        <v>84</v>
      </c>
      <c r="G95" t="s">
        <v>84</v>
      </c>
      <c r="H95" t="s">
        <v>84</v>
      </c>
      <c r="I95" t="s">
        <v>84</v>
      </c>
      <c r="J95" t="s">
        <v>84</v>
      </c>
      <c r="K95" t="s">
        <v>84</v>
      </c>
      <c r="L95" t="s">
        <v>84</v>
      </c>
      <c r="M95" t="s">
        <v>84</v>
      </c>
    </row>
    <row r="96" spans="1:13" x14ac:dyDescent="0.35">
      <c r="A96" t="s">
        <v>203</v>
      </c>
      <c r="B96">
        <v>1</v>
      </c>
      <c r="C96" t="s">
        <v>126</v>
      </c>
      <c r="D96" t="s">
        <v>131</v>
      </c>
      <c r="E96" t="s">
        <v>125</v>
      </c>
      <c r="F96" t="s">
        <v>124</v>
      </c>
      <c r="G96" t="s">
        <v>121</v>
      </c>
      <c r="H96" t="s">
        <v>129</v>
      </c>
      <c r="I96" t="s">
        <v>123</v>
      </c>
      <c r="J96" t="s">
        <v>132</v>
      </c>
      <c r="K96" t="s">
        <v>126</v>
      </c>
      <c r="L96">
        <v>25</v>
      </c>
      <c r="M96">
        <v>1086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3"/>
  <dimension ref="A1:GS44"/>
  <sheetViews>
    <sheetView zoomScaleNormal="100" workbookViewId="0">
      <selection activeCell="A14" sqref="A14:A16"/>
    </sheetView>
  </sheetViews>
  <sheetFormatPr defaultRowHeight="12.5" x14ac:dyDescent="0.25"/>
  <cols>
    <col min="1" max="2" width="8.81640625" style="12" customWidth="1"/>
    <col min="3" max="16384" width="8.7265625" style="12"/>
  </cols>
  <sheetData>
    <row r="1" spans="1:3" ht="4.5" customHeight="1" x14ac:dyDescent="0.25">
      <c r="A1" s="94"/>
    </row>
    <row r="2" spans="1:3" x14ac:dyDescent="0.25">
      <c r="A2" s="130"/>
      <c r="B2" s="130"/>
      <c r="C2" s="130"/>
    </row>
    <row r="3" spans="1:3" x14ac:dyDescent="0.25">
      <c r="A3" s="130"/>
      <c r="B3" s="130"/>
      <c r="C3" s="130"/>
    </row>
    <row r="4" spans="1:3" x14ac:dyDescent="0.25">
      <c r="A4" s="130"/>
      <c r="B4" s="130"/>
      <c r="C4" s="130"/>
    </row>
    <row r="5" spans="1:3" x14ac:dyDescent="0.25">
      <c r="A5" s="135"/>
      <c r="B5" s="130"/>
    </row>
    <row r="6" spans="1:3" ht="12.75" customHeight="1" x14ac:dyDescent="0.25">
      <c r="A6" s="135"/>
      <c r="B6" s="130"/>
    </row>
    <row r="7" spans="1:3" ht="12.75" customHeight="1" x14ac:dyDescent="0.25">
      <c r="A7" s="135"/>
      <c r="B7" s="130"/>
    </row>
    <row r="8" spans="1:3" ht="12.75" customHeight="1" x14ac:dyDescent="0.25">
      <c r="A8" s="130"/>
      <c r="B8" s="130"/>
    </row>
    <row r="9" spans="1:3" ht="12.75" customHeight="1" x14ac:dyDescent="0.25">
      <c r="A9" s="130"/>
      <c r="B9" s="130"/>
    </row>
    <row r="10" spans="1:3" ht="12.75" customHeight="1" x14ac:dyDescent="0.25">
      <c r="A10" s="130"/>
      <c r="B10" s="130"/>
    </row>
    <row r="11" spans="1:3" x14ac:dyDescent="0.25">
      <c r="A11" s="130"/>
      <c r="B11" s="130"/>
    </row>
    <row r="12" spans="1:3" ht="12.75" customHeight="1" x14ac:dyDescent="0.25">
      <c r="A12" s="130"/>
      <c r="B12" s="130"/>
    </row>
    <row r="13" spans="1:3" ht="12.75" customHeight="1" x14ac:dyDescent="0.25">
      <c r="A13" s="130"/>
      <c r="B13" s="130"/>
    </row>
    <row r="14" spans="1:3" ht="12.75" customHeight="1" x14ac:dyDescent="0.25">
      <c r="A14" s="134"/>
      <c r="B14" s="130"/>
    </row>
    <row r="15" spans="1:3" ht="12.75" customHeight="1" x14ac:dyDescent="0.25">
      <c r="A15" s="134"/>
      <c r="B15" s="130"/>
    </row>
    <row r="16" spans="1:3" x14ac:dyDescent="0.25">
      <c r="A16" s="134"/>
      <c r="B16" s="130"/>
    </row>
    <row r="17" spans="1:2" x14ac:dyDescent="0.25">
      <c r="A17" s="133"/>
      <c r="B17" s="133"/>
    </row>
    <row r="18" spans="1:2" x14ac:dyDescent="0.25">
      <c r="A18" s="133"/>
      <c r="B18" s="133"/>
    </row>
    <row r="19" spans="1:2" x14ac:dyDescent="0.25">
      <c r="A19" s="133"/>
      <c r="B19" s="133"/>
    </row>
    <row r="20" spans="1:2" ht="12.5" customHeight="1" x14ac:dyDescent="0.25">
      <c r="A20" s="133"/>
      <c r="B20" s="133"/>
    </row>
    <row r="21" spans="1:2" ht="12.5" customHeight="1" x14ac:dyDescent="0.25">
      <c r="A21" s="133"/>
      <c r="B21" s="133"/>
    </row>
    <row r="22" spans="1:2" ht="12.5" customHeight="1" x14ac:dyDescent="0.25">
      <c r="A22" s="133"/>
      <c r="B22" s="133"/>
    </row>
    <row r="23" spans="1:2" x14ac:dyDescent="0.25">
      <c r="A23" s="130"/>
      <c r="B23" s="130"/>
    </row>
    <row r="24" spans="1:2" x14ac:dyDescent="0.25">
      <c r="A24" s="130"/>
      <c r="B24" s="130"/>
    </row>
    <row r="25" spans="1:2" x14ac:dyDescent="0.25">
      <c r="A25" s="130"/>
      <c r="B25" s="130"/>
    </row>
    <row r="29" spans="1:2" x14ac:dyDescent="0.25">
      <c r="A29" s="136"/>
      <c r="B29" s="136"/>
    </row>
    <row r="30" spans="1:2" x14ac:dyDescent="0.25">
      <c r="A30" s="136"/>
      <c r="B30" s="136"/>
    </row>
    <row r="31" spans="1:2" x14ac:dyDescent="0.25">
      <c r="A31" s="136"/>
      <c r="B31" s="136"/>
    </row>
    <row r="32" spans="1:2" x14ac:dyDescent="0.25">
      <c r="A32" s="136"/>
      <c r="B32" s="136"/>
    </row>
    <row r="33" spans="1:201" x14ac:dyDescent="0.25">
      <c r="A33" s="136"/>
      <c r="B33" s="136"/>
    </row>
    <row r="34" spans="1:201" x14ac:dyDescent="0.25">
      <c r="A34" s="136"/>
      <c r="B34" s="136"/>
    </row>
    <row r="35" spans="1:201" x14ac:dyDescent="0.25">
      <c r="A35" s="136"/>
      <c r="B35" s="136"/>
    </row>
    <row r="36" spans="1:201" x14ac:dyDescent="0.25">
      <c r="A36" s="136"/>
      <c r="B36" s="136"/>
    </row>
    <row r="37" spans="1:201" x14ac:dyDescent="0.25">
      <c r="A37" s="136"/>
      <c r="B37" s="136"/>
    </row>
    <row r="38" spans="1:201" x14ac:dyDescent="0.25">
      <c r="A38" s="16"/>
    </row>
    <row r="44" spans="1:201" x14ac:dyDescent="0.25">
      <c r="GS44" s="15"/>
    </row>
  </sheetData>
  <sheetProtection selectLockedCells="1"/>
  <mergeCells count="23">
    <mergeCell ref="A17:A19"/>
    <mergeCell ref="B17:B19"/>
    <mergeCell ref="A8:A10"/>
    <mergeCell ref="B8:B10"/>
    <mergeCell ref="A11:A13"/>
    <mergeCell ref="B11:B13"/>
    <mergeCell ref="A14:A16"/>
    <mergeCell ref="C2:C4"/>
    <mergeCell ref="A2:A4"/>
    <mergeCell ref="B2:B4"/>
    <mergeCell ref="A35:A37"/>
    <mergeCell ref="B35:B37"/>
    <mergeCell ref="A32:A34"/>
    <mergeCell ref="B32:B34"/>
    <mergeCell ref="A29:A31"/>
    <mergeCell ref="B29:B31"/>
    <mergeCell ref="A5:A7"/>
    <mergeCell ref="B5:B7"/>
    <mergeCell ref="A20:A22"/>
    <mergeCell ref="B20:B22"/>
    <mergeCell ref="A23:A25"/>
    <mergeCell ref="B23:B25"/>
    <mergeCell ref="B14:B16"/>
  </mergeCells>
  <pageMargins left="0.75" right="0.75" top="1" bottom="1" header="0.5" footer="0.5"/>
  <pageSetup paperSize="9" scale="52"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 filterMode="1"/>
  <dimension ref="A1:S14"/>
  <sheetViews>
    <sheetView workbookViewId="0">
      <selection activeCell="J25" sqref="J25"/>
    </sheetView>
  </sheetViews>
  <sheetFormatPr defaultRowHeight="14.5" x14ac:dyDescent="0.35"/>
  <sheetData>
    <row r="1" spans="1:19" x14ac:dyDescent="0.35">
      <c r="B1" t="s">
        <v>105</v>
      </c>
      <c r="C1" t="s">
        <v>106</v>
      </c>
      <c r="D1" t="s">
        <v>107</v>
      </c>
      <c r="E1" t="s">
        <v>108</v>
      </c>
      <c r="F1" t="s">
        <v>109</v>
      </c>
      <c r="G1" t="s">
        <v>110</v>
      </c>
      <c r="H1" t="s">
        <v>111</v>
      </c>
      <c r="I1" t="s">
        <v>112</v>
      </c>
      <c r="J1" t="s">
        <v>113</v>
      </c>
      <c r="K1" t="s">
        <v>114</v>
      </c>
      <c r="L1" t="s">
        <v>115</v>
      </c>
      <c r="M1" t="s">
        <v>116</v>
      </c>
      <c r="O1" t="s">
        <v>117</v>
      </c>
      <c r="P1" t="s">
        <v>118</v>
      </c>
      <c r="Q1" t="s">
        <v>119</v>
      </c>
      <c r="R1" t="s">
        <v>120</v>
      </c>
      <c r="S1" t="s">
        <v>43</v>
      </c>
    </row>
    <row r="2" spans="1:19" x14ac:dyDescent="0.35">
      <c r="A2" t="s">
        <v>69</v>
      </c>
      <c r="C2">
        <v>3</v>
      </c>
      <c r="D2">
        <v>4</v>
      </c>
      <c r="E2">
        <v>5</v>
      </c>
      <c r="F2">
        <v>6</v>
      </c>
      <c r="G2">
        <v>7</v>
      </c>
      <c r="H2">
        <v>8</v>
      </c>
      <c r="I2">
        <v>9</v>
      </c>
      <c r="J2">
        <v>10</v>
      </c>
      <c r="K2">
        <v>11</v>
      </c>
    </row>
    <row r="3" spans="1:19" hidden="1" x14ac:dyDescent="0.35">
      <c r="A3" t="s">
        <v>134</v>
      </c>
      <c r="B3">
        <v>1</v>
      </c>
      <c r="C3" t="s">
        <v>124</v>
      </c>
      <c r="D3" t="s">
        <v>127</v>
      </c>
      <c r="E3" t="s">
        <v>122</v>
      </c>
      <c r="F3" t="s">
        <v>128</v>
      </c>
      <c r="G3" t="s">
        <v>125</v>
      </c>
      <c r="H3" t="s">
        <v>129</v>
      </c>
      <c r="I3" t="s">
        <v>146</v>
      </c>
      <c r="J3" t="s">
        <v>121</v>
      </c>
      <c r="K3" t="s">
        <v>121</v>
      </c>
      <c r="L3">
        <v>167</v>
      </c>
      <c r="M3">
        <v>4394</v>
      </c>
      <c r="N3" t="s">
        <v>148</v>
      </c>
      <c r="O3" t="s">
        <v>130</v>
      </c>
      <c r="P3" t="s">
        <v>146</v>
      </c>
      <c r="Q3" t="s">
        <v>133</v>
      </c>
    </row>
    <row r="4" spans="1:19" hidden="1" x14ac:dyDescent="0.35">
      <c r="A4" t="s">
        <v>135</v>
      </c>
      <c r="B4">
        <v>1</v>
      </c>
      <c r="C4" t="s">
        <v>124</v>
      </c>
      <c r="D4" t="s">
        <v>127</v>
      </c>
      <c r="E4" t="s">
        <v>122</v>
      </c>
      <c r="F4" t="s">
        <v>128</v>
      </c>
      <c r="G4" t="s">
        <v>123</v>
      </c>
      <c r="H4" t="s">
        <v>132</v>
      </c>
      <c r="I4" t="s">
        <v>146</v>
      </c>
      <c r="J4" t="s">
        <v>126</v>
      </c>
      <c r="K4" t="s">
        <v>122</v>
      </c>
      <c r="L4">
        <v>169</v>
      </c>
      <c r="M4">
        <v>4518</v>
      </c>
    </row>
    <row r="5" spans="1:19" x14ac:dyDescent="0.35">
      <c r="A5" t="s">
        <v>136</v>
      </c>
      <c r="B5">
        <v>1</v>
      </c>
      <c r="C5" t="s">
        <v>124</v>
      </c>
      <c r="D5" t="s">
        <v>131</v>
      </c>
      <c r="E5" t="s">
        <v>122</v>
      </c>
      <c r="F5" t="s">
        <v>128</v>
      </c>
      <c r="G5" t="s">
        <v>125</v>
      </c>
      <c r="H5" t="s">
        <v>129</v>
      </c>
      <c r="I5" t="s">
        <v>130</v>
      </c>
      <c r="J5" t="s">
        <v>121</v>
      </c>
      <c r="K5" t="s">
        <v>124</v>
      </c>
      <c r="L5">
        <v>172</v>
      </c>
      <c r="M5">
        <v>4484</v>
      </c>
    </row>
    <row r="6" spans="1:19" hidden="1" x14ac:dyDescent="0.35">
      <c r="A6" t="s">
        <v>137</v>
      </c>
      <c r="B6">
        <v>1</v>
      </c>
      <c r="C6" t="s">
        <v>124</v>
      </c>
      <c r="D6" t="s">
        <v>127</v>
      </c>
      <c r="E6" t="s">
        <v>122</v>
      </c>
      <c r="F6" t="s">
        <v>128</v>
      </c>
      <c r="G6" t="s">
        <v>125</v>
      </c>
      <c r="H6" t="s">
        <v>129</v>
      </c>
      <c r="I6" t="s">
        <v>130</v>
      </c>
      <c r="J6" t="s">
        <v>121</v>
      </c>
      <c r="K6" t="s">
        <v>124</v>
      </c>
      <c r="L6">
        <v>183</v>
      </c>
      <c r="M6">
        <v>4547</v>
      </c>
    </row>
    <row r="7" spans="1:19" hidden="1" x14ac:dyDescent="0.35">
      <c r="A7" t="s">
        <v>138</v>
      </c>
      <c r="B7">
        <v>1</v>
      </c>
      <c r="C7" t="s">
        <v>124</v>
      </c>
      <c r="D7" t="s">
        <v>131</v>
      </c>
      <c r="E7" t="s">
        <v>122</v>
      </c>
      <c r="F7" t="s">
        <v>128</v>
      </c>
      <c r="G7" t="s">
        <v>125</v>
      </c>
      <c r="H7" t="s">
        <v>129</v>
      </c>
      <c r="I7" t="s">
        <v>146</v>
      </c>
      <c r="J7" t="s">
        <v>121</v>
      </c>
      <c r="K7" t="s">
        <v>128</v>
      </c>
      <c r="L7">
        <v>169</v>
      </c>
      <c r="M7">
        <v>4520</v>
      </c>
    </row>
    <row r="8" spans="1:19" hidden="1" x14ac:dyDescent="0.35">
      <c r="A8" t="s">
        <v>139</v>
      </c>
      <c r="B8">
        <v>1</v>
      </c>
      <c r="C8" t="s">
        <v>147</v>
      </c>
      <c r="D8" t="s">
        <v>131</v>
      </c>
      <c r="E8" t="s">
        <v>122</v>
      </c>
      <c r="F8" t="s">
        <v>128</v>
      </c>
      <c r="G8" t="s">
        <v>123</v>
      </c>
      <c r="H8" t="s">
        <v>129</v>
      </c>
      <c r="I8" t="s">
        <v>130</v>
      </c>
      <c r="J8" t="s">
        <v>121</v>
      </c>
      <c r="K8" t="s">
        <v>122</v>
      </c>
      <c r="L8">
        <v>168</v>
      </c>
      <c r="M8">
        <v>4497</v>
      </c>
    </row>
    <row r="9" spans="1:19" hidden="1" x14ac:dyDescent="0.35">
      <c r="A9" t="s">
        <v>140</v>
      </c>
      <c r="B9">
        <v>1</v>
      </c>
      <c r="C9" t="s">
        <v>124</v>
      </c>
      <c r="D9" t="s">
        <v>131</v>
      </c>
      <c r="E9" t="s">
        <v>122</v>
      </c>
      <c r="F9" t="s">
        <v>128</v>
      </c>
      <c r="G9" t="s">
        <v>125</v>
      </c>
      <c r="H9" t="s">
        <v>129</v>
      </c>
      <c r="I9" t="s">
        <v>130</v>
      </c>
      <c r="J9" t="s">
        <v>121</v>
      </c>
      <c r="K9" t="s">
        <v>124</v>
      </c>
      <c r="L9">
        <v>170</v>
      </c>
      <c r="M9">
        <v>4500</v>
      </c>
    </row>
    <row r="10" spans="1:19" x14ac:dyDescent="0.35">
      <c r="A10" t="s">
        <v>141</v>
      </c>
      <c r="B10">
        <v>1</v>
      </c>
      <c r="C10" t="s">
        <v>124</v>
      </c>
      <c r="D10" t="s">
        <v>131</v>
      </c>
      <c r="E10" t="s">
        <v>122</v>
      </c>
      <c r="F10" t="s">
        <v>128</v>
      </c>
      <c r="G10" t="s">
        <v>125</v>
      </c>
      <c r="H10" t="s">
        <v>129</v>
      </c>
      <c r="I10" t="s">
        <v>146</v>
      </c>
      <c r="J10" t="s">
        <v>121</v>
      </c>
      <c r="K10" t="s">
        <v>124</v>
      </c>
      <c r="L10">
        <v>172</v>
      </c>
      <c r="M10">
        <v>4604</v>
      </c>
    </row>
    <row r="11" spans="1:19" hidden="1" x14ac:dyDescent="0.35">
      <c r="A11" t="s">
        <v>142</v>
      </c>
      <c r="B11">
        <v>1</v>
      </c>
      <c r="C11" t="s">
        <v>124</v>
      </c>
      <c r="D11" t="s">
        <v>131</v>
      </c>
      <c r="E11" t="s">
        <v>122</v>
      </c>
      <c r="F11" t="s">
        <v>128</v>
      </c>
      <c r="G11" t="s">
        <v>125</v>
      </c>
      <c r="H11" t="s">
        <v>129</v>
      </c>
      <c r="I11" t="s">
        <v>146</v>
      </c>
      <c r="J11" t="s">
        <v>121</v>
      </c>
      <c r="K11" t="s">
        <v>124</v>
      </c>
      <c r="L11">
        <v>183</v>
      </c>
      <c r="M11">
        <v>4610</v>
      </c>
    </row>
    <row r="12" spans="1:19" hidden="1" x14ac:dyDescent="0.35">
      <c r="A12" t="s">
        <v>143</v>
      </c>
      <c r="B12">
        <v>1</v>
      </c>
      <c r="C12" t="s">
        <v>124</v>
      </c>
      <c r="D12" t="s">
        <v>131</v>
      </c>
      <c r="E12" t="s">
        <v>122</v>
      </c>
      <c r="F12" t="s">
        <v>128</v>
      </c>
      <c r="G12" t="s">
        <v>125</v>
      </c>
      <c r="H12" t="s">
        <v>132</v>
      </c>
      <c r="I12" t="s">
        <v>130</v>
      </c>
      <c r="J12" t="s">
        <v>121</v>
      </c>
      <c r="K12" t="s">
        <v>128</v>
      </c>
      <c r="L12">
        <v>178</v>
      </c>
      <c r="M12">
        <v>4445</v>
      </c>
    </row>
    <row r="13" spans="1:19" hidden="1" x14ac:dyDescent="0.35">
      <c r="A13" t="s">
        <v>144</v>
      </c>
      <c r="B13">
        <v>1</v>
      </c>
      <c r="C13" t="s">
        <v>124</v>
      </c>
      <c r="D13" t="s">
        <v>131</v>
      </c>
      <c r="E13" t="s">
        <v>122</v>
      </c>
      <c r="F13" t="s">
        <v>128</v>
      </c>
      <c r="G13" t="s">
        <v>125</v>
      </c>
      <c r="H13" t="s">
        <v>129</v>
      </c>
      <c r="I13" t="s">
        <v>130</v>
      </c>
      <c r="J13" t="s">
        <v>121</v>
      </c>
      <c r="K13" t="s">
        <v>121</v>
      </c>
      <c r="L13">
        <v>168</v>
      </c>
      <c r="M13">
        <v>4560</v>
      </c>
    </row>
    <row r="14" spans="1:19" hidden="1" x14ac:dyDescent="0.35">
      <c r="A14" t="s">
        <v>145</v>
      </c>
      <c r="B14">
        <v>1</v>
      </c>
      <c r="C14" t="s">
        <v>124</v>
      </c>
      <c r="D14" t="s">
        <v>131</v>
      </c>
      <c r="E14" t="s">
        <v>122</v>
      </c>
      <c r="F14" t="s">
        <v>128</v>
      </c>
      <c r="G14" t="s">
        <v>125</v>
      </c>
      <c r="H14" t="s">
        <v>129</v>
      </c>
      <c r="I14" t="s">
        <v>130</v>
      </c>
      <c r="J14" t="s">
        <v>121</v>
      </c>
      <c r="K14" t="s">
        <v>121</v>
      </c>
      <c r="L14">
        <v>173</v>
      </c>
      <c r="M14">
        <v>4433</v>
      </c>
    </row>
  </sheetData>
  <autoFilter ref="A2:S14" xr:uid="{00000000-0009-0000-0000-000005000000}">
    <filterColumn colId="0">
      <filters>
        <filter val="Fire"/>
        <filter val="Ross Hickman"/>
      </filters>
    </filterColumn>
  </autoFilter>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3</vt:i4>
      </vt:variant>
    </vt:vector>
  </HeadingPairs>
  <TitlesOfParts>
    <vt:vector size="11" baseType="lpstr">
      <vt:lpstr>Stats Calculator</vt:lpstr>
      <vt:lpstr>Code Table</vt:lpstr>
      <vt:lpstr>Live Ladder</vt:lpstr>
      <vt:lpstr>Engine</vt:lpstr>
      <vt:lpstr>All Tipsters</vt:lpstr>
      <vt:lpstr>Data</vt:lpstr>
      <vt:lpstr>Logos</vt:lpstr>
      <vt:lpstr>Sheet1</vt:lpstr>
      <vt:lpstr>'Stats Calculator'!IconPaste</vt:lpstr>
      <vt:lpstr>'Stats Calculator'!Print_Area</vt:lpstr>
      <vt:lpstr>'Stats Calculator'!Teams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 Spit</dc:creator>
  <cp:lastModifiedBy>Rob Spit</cp:lastModifiedBy>
  <dcterms:created xsi:type="dcterms:W3CDTF">2014-09-04T10:35:50Z</dcterms:created>
  <dcterms:modified xsi:type="dcterms:W3CDTF">2025-04-18T02:33:16Z</dcterms:modified>
</cp:coreProperties>
</file>