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AEDDA3A4-FDA3-47E6-A348-04CE52FFD958}"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J89" i="1"/>
  <c r="K89" i="1"/>
  <c r="L89" i="1"/>
  <c r="M89" i="1"/>
  <c r="N89" i="1"/>
  <c r="O89" i="1"/>
  <c r="P89" i="1"/>
  <c r="Q89" i="1"/>
  <c r="R89" i="1"/>
  <c r="S89" i="1"/>
  <c r="H90" i="1"/>
  <c r="I90" i="1"/>
  <c r="J90" i="1"/>
  <c r="K90" i="1"/>
  <c r="L90" i="1"/>
  <c r="M90" i="1"/>
  <c r="N90" i="1"/>
  <c r="O90" i="1"/>
  <c r="P90" i="1"/>
  <c r="Q90" i="1"/>
  <c r="R90" i="1"/>
  <c r="S90" i="1"/>
  <c r="AI91" i="1" l="1"/>
  <c r="C92" i="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<sst xmlns="http://schemas.openxmlformats.org/spreadsheetml/2006/main" count="1348" uniqueCount="228">
  <si>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</si>
  <si>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</si>
  <si>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</si>
  <si>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</si>
  <si>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</si>
  <si>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</si>
  <si>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</si>
  <si>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</si>
  <si>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</si>
  <si>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</si>
  <si>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</si>
  <si>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</si>
  <si>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</si>
  <si>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</si>
  <si>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</si>
  <si>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</si>
  <si>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</si>
  <si>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</si>
  <si>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</si>
  <si>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</si>
  <si>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</si>
  <si>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</si>
  <si>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</si>
  <si>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</si>
  <si>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</si>
  <si>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</si>
  <si>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</si>
  <si>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</si>
  <si>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</si>
  <si>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</si>
  <si>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</si>
  <si>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</si>
  <si>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</si>
  <si>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</si>
  <si>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</si>
  <si>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</si>
  <si>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</si>
  <si>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</si>
  <si>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</si>
  <si>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</si>
  <si>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</si>
  <si>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</si>
  <si>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</si>
  <si>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</si>
  <si>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</si>
  <si>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</si>
  <si>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</si>
  <si>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</si>
  <si>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</si>
  <si>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</si>
  <si>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</si>
  <si>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</si>
  <si>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</si>
  <si>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</si>
  <si>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</si>
  <si>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</si>
  <si>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</si>
  <si>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</si>
  <si>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</si>
  <si>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</si>
  <si>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</si>
  <si>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</si>
  <si>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</si>
  <si>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</si>
  <si>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</si>
  <si>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</si>
  <si>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</si>
  <si>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</si>
  <si>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</si>
  <si>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</si>
  <si>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</si>
  <si>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</si>
  <si>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</si>
  <si>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</si>
  <si>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</si>
  <si>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</si>
  <si>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</si>
  <si>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</si>
  <si>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</si>
  <si>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</si>
  <si>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</si>
  <si>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</si>
  <si>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</si>
  <si>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</si>
  <si>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</si>
  <si>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</si>
  <si>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</si>
  <si>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</si>
  <si>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</si>
  <si>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</si>
  <si>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</si>
  <si>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</si>
  <si>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</si>
  <si>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</si>
  <si>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</si>
  <si>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</si>
  <si>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</si>
  <si>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</si>
  <si>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</si>
  <si>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</si>
  <si>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</si>
  <si>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</si>
  <si>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</si>
  <si>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</si>
  <si>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</si>
  <si>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</si>
  <si>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</si>
  <si>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</si>
  <si>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</si>
  <si>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</si>
  <si>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</si>
  <si>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</si>
  <si>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</si>
  <si>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</si>
  <si>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</si>
  <si>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</si>
  <si>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</si>
  <si>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</si>
  <si>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</si>
  <si>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</si>
  <si>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</si>
  <si>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</si>
  <si>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</si>
  <si>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</si>
  <si>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</si>
  <si>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</si>
  <si>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</si>
  <si>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</si>
  <si>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</si>
  <si>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</si>
  <si>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</si>
  <si>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</si>
  <si>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</si>
  <si>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</si>
  <si>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</si>
  <si>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</si>
  <si>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</si>
  <si>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</si>
  <si>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</si>
  <si>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</si>
  <si>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</si>
  <si>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</si>
  <si>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</si>
  <si>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</si>
  <si>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</si>
  <si>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</si>
  <si>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</si>
  <si>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</si>
  <si>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</si>
  <si>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</si>
  <si>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</si>
  <si>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</si>
  <si>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Knights</t>
  </si>
  <si>
    <t>18.1</t>
  </si>
  <si>
    <t>Thursday 7:50pm AEST</t>
  </si>
  <si>
    <t>Adel Messih</t>
  </si>
  <si>
    <t>Titans</t>
  </si>
  <si>
    <t>18.2</t>
  </si>
  <si>
    <t>Friday 6:00pm AEST</t>
  </si>
  <si>
    <t>Admireel</t>
  </si>
  <si>
    <t>18.3</t>
  </si>
  <si>
    <t>Friday 8:00pm AEST</t>
  </si>
  <si>
    <t>Active Players</t>
  </si>
  <si>
    <t>Bart Simpson</t>
  </si>
  <si>
    <t>18.4</t>
  </si>
  <si>
    <t>Saturday 3:00pm AEST</t>
  </si>
  <si>
    <t>Big Baba</t>
  </si>
  <si>
    <t>18.5</t>
  </si>
  <si>
    <t>Saturday 5:30pm AEST</t>
  </si>
  <si>
    <t>Big Moose</t>
  </si>
  <si>
    <t>18.6</t>
  </si>
  <si>
    <t>Saturday 7:35pm AEST</t>
  </si>
  <si>
    <t>BillyB</t>
  </si>
  <si>
    <t>18.7</t>
  </si>
  <si>
    <t>Sunday 2:00pm AEST</t>
  </si>
  <si>
    <t>blakey94</t>
  </si>
  <si>
    <t>18.8</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</si>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</sst>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31</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23</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14</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39</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39</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9</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45</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18</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36</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54</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0</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7</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47</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44</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10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49</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39</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15</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54</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54</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9.png"/><Relationship Id="rId3" Type="http://schemas.openxmlformats.org/officeDocument/2006/relationships/image" Target="../media/image12.png"/><Relationship Id="rId7" Type="http://schemas.openxmlformats.org/officeDocument/2006/relationships/image" Target="../media/image16.png"/><Relationship Id="rId12" Type="http://schemas.openxmlformats.org/officeDocument/2006/relationships/image" Target="../media/image17.png"/><Relationship Id="rId17" Type="http://schemas.openxmlformats.org/officeDocument/2006/relationships/image" Target="../media/image18.png"/><Relationship Id="rId2" Type="http://schemas.openxmlformats.org/officeDocument/2006/relationships/image" Target="../media/image8.png"/><Relationship Id="rId16"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3.png"/><Relationship Id="rId11" Type="http://schemas.openxmlformats.org/officeDocument/2006/relationships/image" Target="../media/image11.png"/><Relationship Id="rId5" Type="http://schemas.openxmlformats.org/officeDocument/2006/relationships/image" Target="../media/image2.png"/><Relationship Id="rId15" Type="http://schemas.openxmlformats.org/officeDocument/2006/relationships/image" Target="../media/image10.png"/><Relationship Id="rId10" Type="http://schemas.openxmlformats.org/officeDocument/2006/relationships/image" Target="../media/image4.png"/><Relationship Id="rId4" Type="http://schemas.openxmlformats.org/officeDocument/2006/relationships/image" Target="../media/image15.png"/><Relationship Id="rId9" Type="http://schemas.openxmlformats.org/officeDocument/2006/relationships/image" Target="../media/image13.png"/><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4</xdr:row>
      <xdr:rowOff>19050</xdr:rowOff>
    </xdr:from>
    <xdr:to>
      <xdr:col>7</xdr:col>
      <xdr:colOff>546100</xdr:colOff>
      <xdr:row>6</xdr:row>
      <xdr:rowOff>152400</xdr:rowOff>
    </xdr:to>
    <xdr:pic>
      <xdr:nvPicPr>
        <xdr:cNvPr id="13" name="Picture 93">
          <a:extLst>
            <a:ext uri="{FF2B5EF4-FFF2-40B4-BE49-F238E27FC236}">
              <a16:creationId xmlns:a16="http://schemas.microsoft.com/office/drawing/2014/main" id="{DB342092-E7D8-4CD6-A1F7-352A21388404}"/>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533400</xdr:colOff>
      <xdr:row>9</xdr:row>
      <xdr:rowOff>139700</xdr:rowOff>
    </xdr:to>
    <xdr:pic>
      <xdr:nvPicPr>
        <xdr:cNvPr id="14" name="Picture 96">
          <a:extLst>
            <a:ext uri="{FF2B5EF4-FFF2-40B4-BE49-F238E27FC236}">
              <a16:creationId xmlns:a16="http://schemas.microsoft.com/office/drawing/2014/main" id="{DB53FC51-46BD-47D3-BA01-748E857D362E}"/>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539750</xdr:colOff>
      <xdr:row>15</xdr:row>
      <xdr:rowOff>146050</xdr:rowOff>
    </xdr:to>
    <xdr:pic>
      <xdr:nvPicPr>
        <xdr:cNvPr id="15" name="Picture 100">
          <a:extLst>
            <a:ext uri="{FF2B5EF4-FFF2-40B4-BE49-F238E27FC236}">
              <a16:creationId xmlns:a16="http://schemas.microsoft.com/office/drawing/2014/main" id="{989282E1-8B2E-47E9-A4CB-3304A2F0E65B}"/>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16</xdr:row>
      <xdr:rowOff>12700</xdr:rowOff>
    </xdr:from>
    <xdr:to>
      <xdr:col>7</xdr:col>
      <xdr:colOff>514350</xdr:colOff>
      <xdr:row>18</xdr:row>
      <xdr:rowOff>139700</xdr:rowOff>
    </xdr:to>
    <xdr:pic>
      <xdr:nvPicPr>
        <xdr:cNvPr id="16" name="Picture 15">
          <a:extLst>
            <a:ext uri="{FF2B5EF4-FFF2-40B4-BE49-F238E27FC236}">
              <a16:creationId xmlns:a16="http://schemas.microsoft.com/office/drawing/2014/main" id="{218CD3C9-9BDC-47E6-B9D0-AEC025C51E93}"/>
            </a:ext>
          </a:extLst>
        </xdr:cNvPr>
        <xdr:cNvPicPr>
          <a:picLocks noChangeAspect="1"/>
        </xdr:cNvPicPr>
      </xdr:nvPicPr>
      <xdr:blipFill>
        <a:blip xmlns:r="http://schemas.openxmlformats.org/officeDocument/2006/relationships" r:embed="rId15"/>
        <a:stretch>
          <a:fillRect/>
        </a:stretch>
      </xdr:blipFill>
      <xdr:spPr>
        <a:xfrm>
          <a:off x="671830" y="3472180"/>
          <a:ext cx="444500" cy="462280"/>
        </a:xfrm>
        <a:prstGeom prst="rect">
          <a:avLst/>
        </a:prstGeom>
      </xdr:spPr>
    </xdr:pic>
    <xdr:clientData/>
  </xdr:twoCellAnchor>
  <xdr:twoCellAnchor>
    <xdr:from>
      <xdr:col>7</xdr:col>
      <xdr:colOff>82550</xdr:colOff>
      <xdr:row>22</xdr:row>
      <xdr:rowOff>25400</xdr:rowOff>
    </xdr:from>
    <xdr:to>
      <xdr:col>7</xdr:col>
      <xdr:colOff>577850</xdr:colOff>
      <xdr:row>24</xdr:row>
      <xdr:rowOff>139700</xdr:rowOff>
    </xdr:to>
    <xdr:pic>
      <xdr:nvPicPr>
        <xdr:cNvPr id="17" name="Picture 89">
          <a:extLst>
            <a:ext uri="{FF2B5EF4-FFF2-40B4-BE49-F238E27FC236}">
              <a16:creationId xmlns:a16="http://schemas.microsoft.com/office/drawing/2014/main" id="{5216A882-211B-414C-8DE1-4772B468BCA5}"/>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25</xdr:row>
      <xdr:rowOff>19051</xdr:rowOff>
    </xdr:from>
    <xdr:to>
      <xdr:col>7</xdr:col>
      <xdr:colOff>520700</xdr:colOff>
      <xdr:row>27</xdr:row>
      <xdr:rowOff>139700</xdr:rowOff>
    </xdr:to>
    <xdr:pic>
      <xdr:nvPicPr>
        <xdr:cNvPr id="18" name="Picture 17">
          <a:extLst>
            <a:ext uri="{FF2B5EF4-FFF2-40B4-BE49-F238E27FC236}">
              <a16:creationId xmlns:a16="http://schemas.microsoft.com/office/drawing/2014/main" id="{F5FA2634-48F6-44F6-A349-1BA73B8E92B3}"/>
            </a:ext>
          </a:extLst>
        </xdr:cNvPr>
        <xdr:cNvPicPr>
          <a:picLocks noChangeAspect="1"/>
        </xdr:cNvPicPr>
      </xdr:nvPicPr>
      <xdr:blipFill>
        <a:blip xmlns:r="http://schemas.openxmlformats.org/officeDocument/2006/relationships" r:embed="rId17"/>
        <a:stretch>
          <a:fillRect/>
        </a:stretch>
      </xdr:blipFill>
      <xdr:spPr>
        <a:xfrm>
          <a:off x="82551" y="3021331"/>
          <a:ext cx="438149" cy="425449"/>
        </a:xfrm>
        <a:prstGeom prst="rect">
          <a:avLst/>
        </a:prstGeom>
      </xdr:spPr>
    </xdr:pic>
    <xdr:clientData/>
  </xdr:twoCellAnchor>
  <xdr:twoCellAnchor>
    <xdr:from>
      <xdr:col>7</xdr:col>
      <xdr:colOff>95250</xdr:colOff>
      <xdr:row>31</xdr:row>
      <xdr:rowOff>19050</xdr:rowOff>
    </xdr:from>
    <xdr:to>
      <xdr:col>7</xdr:col>
      <xdr:colOff>539750</xdr:colOff>
      <xdr:row>33</xdr:row>
      <xdr:rowOff>146050</xdr:rowOff>
    </xdr:to>
    <xdr:pic>
      <xdr:nvPicPr>
        <xdr:cNvPr id="19" name="Picture 90">
          <a:extLst>
            <a:ext uri="{FF2B5EF4-FFF2-40B4-BE49-F238E27FC236}">
              <a16:creationId xmlns:a16="http://schemas.microsoft.com/office/drawing/2014/main" id="{566D3D38-7151-48EB-9FD7-822B7837A21D}"/>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34</xdr:row>
      <xdr:rowOff>31750</xdr:rowOff>
    </xdr:from>
    <xdr:to>
      <xdr:col>7</xdr:col>
      <xdr:colOff>533400</xdr:colOff>
      <xdr:row>36</xdr:row>
      <xdr:rowOff>139700</xdr:rowOff>
    </xdr:to>
    <xdr:pic>
      <xdr:nvPicPr>
        <xdr:cNvPr id="20" name="Picture 19">
          <a:extLst>
            <a:ext uri="{FF2B5EF4-FFF2-40B4-BE49-F238E27FC236}">
              <a16:creationId xmlns:a16="http://schemas.microsoft.com/office/drawing/2014/main" id="{55E58CA9-F548-493D-9D17-C71A2A4EC4B7}"/>
            </a:ext>
          </a:extLst>
        </xdr:cNvPr>
        <xdr:cNvPicPr>
          <a:picLocks noChangeAspect="1"/>
        </xdr:cNvPicPr>
      </xdr:nvPicPr>
      <xdr:blipFill>
        <a:blip xmlns:r="http://schemas.openxmlformats.org/officeDocument/2006/relationships" r:embed="rId19"/>
        <a:stretch>
          <a:fillRect/>
        </a:stretch>
      </xdr:blipFill>
      <xdr:spPr>
        <a:xfrm>
          <a:off x="709930" y="2531110"/>
          <a:ext cx="425450" cy="443230"/>
        </a:xfrm>
        <a:prstGeom prst="rect">
          <a:avLst/>
        </a:prstGeom>
      </xdr:spPr>
    </xdr:pic>
    <xdr:clientData/>
  </xdr:twoCellAnchor>
  <xdr:twoCellAnchor>
    <xdr:from>
      <xdr:col>13</xdr:col>
      <xdr:colOff>88900</xdr:colOff>
      <xdr:row>4</xdr:row>
      <xdr:rowOff>25400</xdr:rowOff>
    </xdr:from>
    <xdr:to>
      <xdr:col>13</xdr:col>
      <xdr:colOff>520700</xdr:colOff>
      <xdr:row>6</xdr:row>
      <xdr:rowOff>139700</xdr:rowOff>
    </xdr:to>
    <xdr:pic>
      <xdr:nvPicPr>
        <xdr:cNvPr id="21" name="Picture 20">
          <a:extLst>
            <a:ext uri="{FF2B5EF4-FFF2-40B4-BE49-F238E27FC236}">
              <a16:creationId xmlns:a16="http://schemas.microsoft.com/office/drawing/2014/main" id="{DA07EC5C-BE49-4662-BB1C-EA8FDFF58DFD}"/>
            </a:ext>
          </a:extLst>
        </xdr:cNvPr>
        <xdr:cNvPicPr>
          <a:picLocks noChangeAspect="1"/>
        </xdr:cNvPicPr>
      </xdr:nvPicPr>
      <xdr:blipFill>
        <a:blip xmlns:r="http://schemas.openxmlformats.org/officeDocument/2006/relationships" r:embed="rId20"/>
        <a:stretch>
          <a:fillRect/>
        </a:stretch>
      </xdr:blipFill>
      <xdr:spPr>
        <a:xfrm>
          <a:off x="690880" y="3027680"/>
          <a:ext cx="431800" cy="419100"/>
        </a:xfrm>
        <a:prstGeom prst="rect">
          <a:avLst/>
        </a:prstGeom>
      </xdr:spPr>
    </xdr:pic>
    <xdr:clientData/>
  </xdr:twoCellAnchor>
  <xdr:twoCellAnchor>
    <xdr:from>
      <xdr:col>13</xdr:col>
      <xdr:colOff>114300</xdr:colOff>
      <xdr:row>7</xdr:row>
      <xdr:rowOff>19050</xdr:rowOff>
    </xdr:from>
    <xdr:to>
      <xdr:col>13</xdr:col>
      <xdr:colOff>558800</xdr:colOff>
      <xdr:row>9</xdr:row>
      <xdr:rowOff>146050</xdr:rowOff>
    </xdr:to>
    <xdr:pic>
      <xdr:nvPicPr>
        <xdr:cNvPr id="22" name="Picture 39">
          <a:extLst>
            <a:ext uri="{FF2B5EF4-FFF2-40B4-BE49-F238E27FC236}">
              <a16:creationId xmlns:a16="http://schemas.microsoft.com/office/drawing/2014/main" id="{B60AE064-1395-4875-9E99-679052CD7E92}"/>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13</xdr:row>
      <xdr:rowOff>25400</xdr:rowOff>
    </xdr:from>
    <xdr:to>
      <xdr:col>13</xdr:col>
      <xdr:colOff>539750</xdr:colOff>
      <xdr:row>15</xdr:row>
      <xdr:rowOff>139700</xdr:rowOff>
    </xdr:to>
    <xdr:pic>
      <xdr:nvPicPr>
        <xdr:cNvPr id="23" name="Picture 91">
          <a:extLst>
            <a:ext uri="{FF2B5EF4-FFF2-40B4-BE49-F238E27FC236}">
              <a16:creationId xmlns:a16="http://schemas.microsoft.com/office/drawing/2014/main" id="{788A8AEA-4C5F-4875-84E4-05D46B701171}"/>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16</xdr:row>
      <xdr:rowOff>31750</xdr:rowOff>
    </xdr:from>
    <xdr:to>
      <xdr:col>13</xdr:col>
      <xdr:colOff>539750</xdr:colOff>
      <xdr:row>18</xdr:row>
      <xdr:rowOff>139700</xdr:rowOff>
    </xdr:to>
    <xdr:pic>
      <xdr:nvPicPr>
        <xdr:cNvPr id="24" name="Picture 99">
          <a:extLst>
            <a:ext uri="{FF2B5EF4-FFF2-40B4-BE49-F238E27FC236}">
              <a16:creationId xmlns:a16="http://schemas.microsoft.com/office/drawing/2014/main" id="{57765E4B-24F8-432C-99C6-E5240108253B}"/>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12700</xdr:rowOff>
    </xdr:from>
    <xdr:to>
      <xdr:col>13</xdr:col>
      <xdr:colOff>546100</xdr:colOff>
      <xdr:row>24</xdr:row>
      <xdr:rowOff>146050</xdr:rowOff>
    </xdr:to>
    <xdr:pic>
      <xdr:nvPicPr>
        <xdr:cNvPr id="25" name="Picture 98">
          <a:extLst>
            <a:ext uri="{FF2B5EF4-FFF2-40B4-BE49-F238E27FC236}">
              <a16:creationId xmlns:a16="http://schemas.microsoft.com/office/drawing/2014/main" id="{E6892489-ED5F-4447-8235-205B5557062A}"/>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25</xdr:row>
      <xdr:rowOff>25400</xdr:rowOff>
    </xdr:from>
    <xdr:to>
      <xdr:col>13</xdr:col>
      <xdr:colOff>539750</xdr:colOff>
      <xdr:row>27</xdr:row>
      <xdr:rowOff>146050</xdr:rowOff>
    </xdr:to>
    <xdr:pic>
      <xdr:nvPicPr>
        <xdr:cNvPr id="26" name="Picture 92">
          <a:extLst>
            <a:ext uri="{FF2B5EF4-FFF2-40B4-BE49-F238E27FC236}">
              <a16:creationId xmlns:a16="http://schemas.microsoft.com/office/drawing/2014/main" id="{EADD603B-A216-48CB-971F-9BF7371A9FFF}"/>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31</xdr:row>
      <xdr:rowOff>25400</xdr:rowOff>
    </xdr:from>
    <xdr:to>
      <xdr:col>13</xdr:col>
      <xdr:colOff>558800</xdr:colOff>
      <xdr:row>33</xdr:row>
      <xdr:rowOff>139700</xdr:rowOff>
    </xdr:to>
    <xdr:pic>
      <xdr:nvPicPr>
        <xdr:cNvPr id="27" name="Picture 97">
          <a:extLst>
            <a:ext uri="{FF2B5EF4-FFF2-40B4-BE49-F238E27FC236}">
              <a16:creationId xmlns:a16="http://schemas.microsoft.com/office/drawing/2014/main" id="{1A02ECC4-4F35-4478-8AE8-9AEFA75BC2A7}"/>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15DAFB95-2B26-44C9-A3D3-08415ABA7937}"/>
            </a:ext>
          </a:extLst>
        </xdr:cNvPr>
        <xdr:cNvPicPr>
          <a:picLocks noChangeAspect="1"/>
        </xdr:cNvPicPr>
      </xdr:nvPicPr>
      <xdr:blipFill>
        <a:blip xmlns:r="http://schemas.openxmlformats.org/officeDocument/2006/relationships" r:embed="rId27"/>
        <a:stretch>
          <a:fillRect/>
        </a:stretch>
      </xdr:blipFill>
      <xdr:spPr>
        <a:xfrm>
          <a:off x="95250" y="2518410"/>
          <a:ext cx="450850" cy="468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18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39</v>
      </c>
      <c r="AI3" s="115" t="s">
        <v>92</v>
      </c>
    </row>
    <row r="4" spans="1:35" x14ac:dyDescent="0.3">
      <c r="B4" s="27"/>
      <c r="C4" s="122" t="s">
        <v>23</v>
      </c>
      <c r="D4" s="122"/>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22"/>
      <c r="D5" s="122"/>
      <c r="E5" s="18"/>
      <c r="F5" s="18"/>
      <c r="G5" s="28"/>
      <c r="H5" s="127"/>
      <c r="K5" s="29"/>
      <c r="M5" s="99"/>
      <c r="N5" s="123"/>
      <c r="Q5" s="98"/>
      <c r="R5" s="50"/>
      <c r="AG5" s="59">
        <v>10</v>
      </c>
      <c r="AH5" s="59">
        <f>COUNTIF(Engine!AL$1:AL$90,AG5)</f>
        <v>0</v>
      </c>
      <c r="AI5" s="115" t="s">
        <v>94</v>
      </c>
    </row>
    <row r="6" spans="1:35" x14ac:dyDescent="0.3">
      <c r="B6" s="27"/>
      <c r="C6" s="20" t="s">
        <v>24</v>
      </c>
      <c r="D6" s="18"/>
      <c r="E6" s="18"/>
      <c r="F6" s="18"/>
      <c r="G6" s="28"/>
      <c r="H6" s="127"/>
      <c r="K6" s="31" t="str">
        <f>ROUND(AE14,1)&amp;"%"</f>
        <v>27.8%</v>
      </c>
      <c r="M6" s="99"/>
      <c r="N6" s="123"/>
      <c r="Q6" s="100" t="str">
        <f>IF(T23&lt;5,"",ROUND(AE10,1)&amp;"%")</f>
        <v>0%</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14</v>
      </c>
    </row>
    <row r="7" spans="1:35" ht="12.75" customHeight="1" x14ac:dyDescent="0.3">
      <c r="B7" s="27"/>
      <c r="C7" s="20" t="s">
        <v>35</v>
      </c>
      <c r="D7" s="18"/>
      <c r="E7" s="18"/>
      <c r="F7" s="18"/>
      <c r="G7" s="53"/>
      <c r="H7" s="127"/>
      <c r="I7" s="52"/>
      <c r="J7" s="52"/>
      <c r="K7" s="51"/>
      <c r="M7" s="99"/>
      <c r="N7" s="123"/>
      <c r="O7" s="52"/>
      <c r="P7" s="52"/>
      <c r="Q7" s="100"/>
      <c r="R7" s="50"/>
      <c r="S7" s="59">
        <v>8</v>
      </c>
      <c r="T7" s="59">
        <f>IF(T23&lt;8,"",COUNTIF(Engine!P1:P90,$AA$24))</f>
        <v>23</v>
      </c>
      <c r="U7" s="59">
        <f>IF(T23&lt;8,"",COUNTIF(Engine!P1:P90,$AA$25))</f>
        <v>31</v>
      </c>
      <c r="V7" s="59">
        <f>IF(T23&lt;8,"",COUNTIF(Engine!Q1:Q90,AA24))</f>
        <v>0</v>
      </c>
      <c r="W7" s="59">
        <f>IF(T23&lt;8,"",COUNTIF(Engine!Q1:Q90,AA25))</f>
        <v>0</v>
      </c>
      <c r="X7" s="59">
        <f>IF(T23&lt;8,"",T7/($V$22)*100)</f>
        <v>42.592592592592595</v>
      </c>
      <c r="Y7" s="59">
        <f>IF(T23&lt;8,"",100-X7)</f>
        <v>57.407407407407405</v>
      </c>
      <c r="Z7" s="59">
        <f>IF(T23&lt;8,"",V7/$V$23*100)</f>
        <v>0</v>
      </c>
      <c r="AA7" s="59">
        <f>IF(T23&lt;8,"",W7/$V$23*100)</f>
        <v>0</v>
      </c>
      <c r="AC7" s="59">
        <f t="shared" ref="AC7:AD14" si="0">IF($AI$23=1,T7,V7)</f>
        <v>23</v>
      </c>
      <c r="AD7" s="59">
        <f t="shared" si="0"/>
        <v>31</v>
      </c>
      <c r="AE7" s="59">
        <f t="shared" ref="AE7:AF14" si="1">IF($AI$23=1,X7,Z7)</f>
        <v>42.592592592592595</v>
      </c>
      <c r="AF7" s="59">
        <f t="shared" si="1"/>
        <v>57.407407407407405</v>
      </c>
      <c r="AG7" s="59">
        <v>8</v>
      </c>
      <c r="AH7" s="59">
        <f>COUNTIF(Engine!AL$1:AL$90,AG7)</f>
        <v>0</v>
      </c>
      <c r="AI7" s="115" t="s">
        <v>101</v>
      </c>
    </row>
    <row r="8" spans="1:35" ht="12.75" customHeight="1" x14ac:dyDescent="0.3">
      <c r="B8" s="36"/>
      <c r="C8" s="19"/>
      <c r="D8" s="18"/>
      <c r="E8" s="18"/>
      <c r="F8" s="18"/>
      <c r="G8" s="28"/>
      <c r="H8" s="124"/>
      <c r="K8" s="29"/>
      <c r="M8" s="99"/>
      <c r="N8" s="124"/>
      <c r="Q8" s="100"/>
      <c r="R8" s="125"/>
      <c r="S8" s="59">
        <v>7</v>
      </c>
      <c r="T8" s="59">
        <f>IF(T23&lt;7,"",COUNTIF(Engine!O1:O90,$Z$24))</f>
        <v>45</v>
      </c>
      <c r="U8" s="59">
        <f>IF(T23&lt;7,"",COUNTIF(Engine!O1:O90,$Z$25))</f>
        <v>9</v>
      </c>
      <c r="V8" s="59">
        <f>IF(T23&lt;7,"",COUNTIF(Engine!Q1:Q90,Z24))</f>
        <v>12</v>
      </c>
      <c r="W8" s="59">
        <f>IF(T23&lt;7,"",COUNTIF(Engine!Q1:Q90,Z25))</f>
        <v>0</v>
      </c>
      <c r="X8" s="59">
        <f>IF(T23&lt;7,"",T8/($V$22)*100)</f>
        <v>83.333333333333343</v>
      </c>
      <c r="Y8" s="59">
        <f>IF(T23&lt;7,"",100-X8)</f>
        <v>16.666666666666657</v>
      </c>
      <c r="Z8" s="59">
        <f>IF(T23&lt;7,"",V8/$V$23*100)</f>
        <v>22.222222222222221</v>
      </c>
      <c r="AA8" s="59">
        <f>IF(T23&lt;7,"",W8/$V$23*100)</f>
        <v>0</v>
      </c>
      <c r="AC8" s="59">
        <f t="shared" si="0"/>
        <v>45</v>
      </c>
      <c r="AD8" s="59">
        <f t="shared" si="0"/>
        <v>9</v>
      </c>
      <c r="AE8" s="59">
        <f t="shared" si="1"/>
        <v>83.333333333333343</v>
      </c>
      <c r="AF8" s="59">
        <f t="shared" si="1"/>
        <v>16.666666666666657</v>
      </c>
      <c r="AG8" s="59">
        <v>7</v>
      </c>
      <c r="AH8" s="59">
        <f>COUNTIF(Engine!AL$1:AL$90,AG8)</f>
        <v>0</v>
      </c>
      <c r="AI8" s="115" t="s">
        <v>91</v>
      </c>
    </row>
    <row r="9" spans="1:35" ht="12.75" customHeight="1" x14ac:dyDescent="0.3">
      <c r="B9" s="36"/>
      <c r="C9" s="19"/>
      <c r="D9" s="18"/>
      <c r="E9" s="18"/>
      <c r="F9" s="18"/>
      <c r="G9" s="28"/>
      <c r="H9" s="124"/>
      <c r="K9" s="31" t="str">
        <f>ROUND(AF14,1)&amp;"%"</f>
        <v>72.2%</v>
      </c>
      <c r="L9" s="33"/>
      <c r="M9" s="99"/>
      <c r="N9" s="124"/>
      <c r="Q9" s="100" t="str">
        <f>IF(T23&lt;5,"",ROUND(AF10,1)&amp;"%")</f>
        <v>100%</v>
      </c>
      <c r="R9" s="125"/>
      <c r="S9" s="59">
        <v>6</v>
      </c>
      <c r="T9" s="59">
        <f>IF(T23&lt;6,"",COUNTIF(Engine!N1:N90,$Y$24))</f>
        <v>36</v>
      </c>
      <c r="U9" s="59">
        <f>IF(T23&lt;6,"",COUNTIF(Engine!N1:N90,$Y$25))</f>
        <v>18</v>
      </c>
      <c r="V9" s="59">
        <f>IF(T23&lt;6,"",COUNTIF(Engine!Q1:Q90,Y24))</f>
        <v>2</v>
      </c>
      <c r="W9" s="59">
        <f>IF(T23&lt;6,"",COUNTIF(Engine!Q1:Q90,Y25))</f>
        <v>0</v>
      </c>
      <c r="X9" s="59">
        <f>IF(T23&lt;6,"",T9/($V$22)*100)</f>
        <v>66.666666666666657</v>
      </c>
      <c r="Y9" s="59">
        <f>IF(T23&lt;6,"",100-X9)</f>
        <v>33.333333333333343</v>
      </c>
      <c r="Z9" s="59">
        <f>IF(T23&lt;6,"",V9/$V$23*100)</f>
        <v>3.7037037037037033</v>
      </c>
      <c r="AA9" s="59">
        <f>IF(T23&lt;6,"",W9/$V$23*100)</f>
        <v>0</v>
      </c>
      <c r="AC9" s="59">
        <f t="shared" si="0"/>
        <v>36</v>
      </c>
      <c r="AD9" s="59">
        <f t="shared" si="0"/>
        <v>18</v>
      </c>
      <c r="AE9" s="59">
        <f t="shared" si="1"/>
        <v>66.666666666666657</v>
      </c>
      <c r="AF9" s="59">
        <f t="shared" si="1"/>
        <v>33.333333333333343</v>
      </c>
      <c r="AG9" s="59">
        <v>6</v>
      </c>
      <c r="AH9" s="59">
        <f>COUNTIF(Engine!AL$1:AL$90,AG9)</f>
        <v>0</v>
      </c>
      <c r="AI9" s="115" t="s">
        <v>92</v>
      </c>
    </row>
    <row r="10" spans="1:35" ht="12.75" customHeight="1" x14ac:dyDescent="0.3">
      <c r="B10" s="36"/>
      <c r="C10" s="49" t="s">
        <v>36</v>
      </c>
      <c r="D10" s="37"/>
      <c r="E10" s="37"/>
      <c r="F10" s="18"/>
      <c r="G10" s="28"/>
      <c r="H10" s="124"/>
      <c r="K10" s="29"/>
      <c r="L10" s="16"/>
      <c r="M10" s="99"/>
      <c r="N10" s="124"/>
      <c r="Q10" s="100"/>
      <c r="R10" s="125"/>
      <c r="S10" s="59">
        <v>5</v>
      </c>
      <c r="T10" s="59">
        <f>IF(T23&lt;5,"",COUNTIF(Engine!M1:M90,$X$24))</f>
        <v>0</v>
      </c>
      <c r="U10" s="59">
        <f>IF(T23&lt;5,"",COUNTIF(Engine!M1:M90,$X$25))</f>
        <v>54</v>
      </c>
      <c r="V10" s="59">
        <f>IF(T23&lt;5,"",COUNTIF(Engine!Q1:Q90,X24))</f>
        <v>0</v>
      </c>
      <c r="W10" s="59">
        <f>IF(T23&lt;5,"",COUNTIF(Engine!Q1:Q90,X25))</f>
        <v>32</v>
      </c>
      <c r="X10" s="59">
        <f>IF(T23&lt;5,"",T10/($V$22)*100)</f>
        <v>0</v>
      </c>
      <c r="Y10" s="59">
        <f>IF(T23&lt;5,"",100-X10)</f>
        <v>100</v>
      </c>
      <c r="Z10" s="59">
        <f>IF(T23&lt;5,"",V10/$V$23*100)</f>
        <v>0</v>
      </c>
      <c r="AA10" s="59">
        <f>IF(T23&lt;5,"",W10/$V$23*100)</f>
        <v>59.259259259259252</v>
      </c>
      <c r="AC10" s="59">
        <f t="shared" si="0"/>
        <v>0</v>
      </c>
      <c r="AD10" s="59">
        <f t="shared" si="0"/>
        <v>54</v>
      </c>
      <c r="AE10" s="59">
        <f t="shared" si="1"/>
        <v>0</v>
      </c>
      <c r="AF10" s="59">
        <f t="shared" si="1"/>
        <v>100</v>
      </c>
      <c r="AG10" s="59">
        <v>5</v>
      </c>
      <c r="AH10" s="59">
        <f>COUNTIF(Engine!AL$1:AL$90,AG10)</f>
        <v>1</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47</v>
      </c>
      <c r="U11" s="59">
        <f>COUNTIF(Engine!L1:L90,$W$25)</f>
        <v>7</v>
      </c>
      <c r="V11" s="59">
        <f>COUNTIF(Engine!Q1:Q90,W24)</f>
        <v>1</v>
      </c>
      <c r="W11" s="59">
        <f>COUNTIF(Engine!Q1:Q90,W25)</f>
        <v>0</v>
      </c>
      <c r="X11" s="59">
        <f>T11/($V$22)*100</f>
        <v>87.037037037037038</v>
      </c>
      <c r="Y11" s="59">
        <f>100-X11</f>
        <v>12.962962962962962</v>
      </c>
      <c r="Z11" s="59">
        <f t="shared" ref="Z11:AA14" si="2">V11/$V$23*100</f>
        <v>1.8518518518518516</v>
      </c>
      <c r="AA11" s="59">
        <f t="shared" si="2"/>
        <v>0</v>
      </c>
      <c r="AC11" s="59">
        <f t="shared" si="0"/>
        <v>47</v>
      </c>
      <c r="AD11" s="59">
        <f t="shared" si="0"/>
        <v>7</v>
      </c>
      <c r="AE11" s="59">
        <f t="shared" si="1"/>
        <v>87.037037037037038</v>
      </c>
      <c r="AF11" s="59">
        <f t="shared" si="1"/>
        <v>12.962962962962962</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10</v>
      </c>
      <c r="U12" s="59">
        <f>COUNTIF(Engine!K1:K90,$V$25)</f>
        <v>44</v>
      </c>
      <c r="V12" s="59">
        <f>COUNTIF(Engine!Q1:Q90,V24)</f>
        <v>0</v>
      </c>
      <c r="W12" s="59">
        <f>COUNTIF(Engine!Q1:Q90,V25)</f>
        <v>0</v>
      </c>
      <c r="X12" s="59">
        <f>T12/($V$22)*100</f>
        <v>18.518518518518519</v>
      </c>
      <c r="Y12" s="59">
        <f>100-X12</f>
        <v>81.481481481481481</v>
      </c>
      <c r="Z12" s="59">
        <f t="shared" si="2"/>
        <v>0</v>
      </c>
      <c r="AA12" s="59">
        <f t="shared" si="2"/>
        <v>0</v>
      </c>
      <c r="AC12" s="59">
        <f t="shared" si="0"/>
        <v>10</v>
      </c>
      <c r="AD12" s="59">
        <f t="shared" si="0"/>
        <v>44</v>
      </c>
      <c r="AE12" s="59">
        <f t="shared" si="1"/>
        <v>18.518518518518519</v>
      </c>
      <c r="AF12" s="59">
        <f t="shared" si="1"/>
        <v>81.481481481481481</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5"/>
      <c r="S13" s="59">
        <v>2</v>
      </c>
      <c r="T13" s="59">
        <f>COUNTIF(Engine!J1:J90,$U$24)</f>
        <v>49</v>
      </c>
      <c r="U13" s="59">
        <f>COUNTIF(Engine!J1:J90,$U$25)</f>
        <v>5</v>
      </c>
      <c r="V13" s="59">
        <f>COUNTIF(Engine!Q1:Q90,U24)</f>
        <v>4</v>
      </c>
      <c r="W13" s="59">
        <f>COUNTIF(Engine!Q1:Q90,U25)</f>
        <v>0</v>
      </c>
      <c r="X13" s="59">
        <f>T13/($V$22)*100</f>
        <v>90.740740740740748</v>
      </c>
      <c r="Y13" s="59">
        <f>100-X13</f>
        <v>9.2592592592592524</v>
      </c>
      <c r="Z13" s="59">
        <f t="shared" si="2"/>
        <v>7.4074074074074066</v>
      </c>
      <c r="AA13" s="59">
        <f t="shared" si="2"/>
        <v>0</v>
      </c>
      <c r="AC13" s="59">
        <f t="shared" si="0"/>
        <v>49</v>
      </c>
      <c r="AD13" s="59">
        <f t="shared" si="0"/>
        <v>5</v>
      </c>
      <c r="AE13" s="59">
        <f t="shared" si="1"/>
        <v>90.740740740740748</v>
      </c>
      <c r="AF13" s="59">
        <f t="shared" si="1"/>
        <v>9.2592592592592524</v>
      </c>
      <c r="AG13" s="59">
        <v>2</v>
      </c>
      <c r="AH13" s="59">
        <f>COUNTIF(Engine!AL$1:AL$90,AG13)</f>
        <v>0</v>
      </c>
      <c r="AI13" s="115" t="s">
        <v>96</v>
      </c>
    </row>
    <row r="14" spans="1:35" ht="12.75" customHeight="1" x14ac:dyDescent="0.3">
      <c r="B14" s="48" t="s">
        <v>19</v>
      </c>
      <c r="C14" s="47"/>
      <c r="D14" s="39"/>
      <c r="E14" s="37"/>
      <c r="F14" s="18"/>
      <c r="G14" s="28"/>
      <c r="H14" s="124"/>
      <c r="K14" s="29"/>
      <c r="L14" s="16"/>
      <c r="M14" s="98"/>
      <c r="N14" s="124"/>
      <c r="Q14" s="100"/>
      <c r="R14" s="4"/>
      <c r="S14" s="59">
        <v>1</v>
      </c>
      <c r="T14" s="59">
        <f>COUNTIF(Engine!I1:I90,$T$24)</f>
        <v>15</v>
      </c>
      <c r="U14" s="59">
        <f>COUNTIF(Engine!I1:I90,$T$25)</f>
        <v>39</v>
      </c>
      <c r="V14" s="59">
        <f>COUNTIF(Engine!Q1:Q90,T24)</f>
        <v>1</v>
      </c>
      <c r="W14" s="59">
        <f>COUNTIF(Engine!Q1:Q90,T25)</f>
        <v>2</v>
      </c>
      <c r="X14" s="59">
        <f>T14/($V$22)*100</f>
        <v>27.777777777777779</v>
      </c>
      <c r="Y14" s="59">
        <f>100-X14</f>
        <v>72.222222222222229</v>
      </c>
      <c r="Z14" s="59">
        <f t="shared" si="2"/>
        <v>1.8518518518518516</v>
      </c>
      <c r="AA14" s="59">
        <f t="shared" si="2"/>
        <v>3.7037037037037033</v>
      </c>
      <c r="AC14" s="59">
        <f t="shared" si="0"/>
        <v>15</v>
      </c>
      <c r="AD14" s="59">
        <f t="shared" si="0"/>
        <v>39</v>
      </c>
      <c r="AE14" s="59">
        <f t="shared" si="1"/>
        <v>27.777777777777779</v>
      </c>
      <c r="AF14" s="59">
        <f t="shared" si="1"/>
        <v>72.222222222222229</v>
      </c>
      <c r="AG14" s="59">
        <v>1</v>
      </c>
      <c r="AH14" s="59">
        <f>COUNTIF(Engine!AL$1:AL$90,AG14)</f>
        <v>0</v>
      </c>
      <c r="AI14" s="115" t="s">
        <v>97</v>
      </c>
    </row>
    <row r="15" spans="1:35" ht="12.75" customHeight="1" x14ac:dyDescent="0.3">
      <c r="B15" s="57"/>
      <c r="C15" s="46">
        <f>IF(T$23&gt;7,12,"")</f>
        <v>12</v>
      </c>
      <c r="D15" s="37"/>
      <c r="E15" s="37"/>
      <c r="F15" s="18"/>
      <c r="G15" s="28"/>
      <c r="H15" s="124"/>
      <c r="K15" s="31" t="str">
        <f>ROUND(AE13,1)&amp;"%"</f>
        <v>90.7%</v>
      </c>
      <c r="L15" s="16"/>
      <c r="M15" s="98"/>
      <c r="N15" s="124"/>
      <c r="O15" s="33"/>
      <c r="P15" s="33"/>
      <c r="Q15" s="100" t="str">
        <f>IF(T23&lt;6,"",ROUND(AE9,1)&amp;"%")</f>
        <v>66.7%</v>
      </c>
      <c r="R15" s="125"/>
      <c r="AG15" s="59">
        <v>0</v>
      </c>
      <c r="AH15" s="59">
        <f>COUNTIF(Engine!AL$1:AL$90,AG15)</f>
        <v>0</v>
      </c>
      <c r="AI15" s="115" t="s">
        <v>98</v>
      </c>
    </row>
    <row r="16" spans="1:35" ht="12.75" customHeight="1" x14ac:dyDescent="0.3">
      <c r="B16" s="57"/>
      <c r="C16" s="41" t="str">
        <f>IF(T$23=8,"",IF(T$23&gt;6,11,""))</f>
        <v/>
      </c>
      <c r="D16" s="39"/>
      <c r="E16" s="37"/>
      <c r="F16" s="18"/>
      <c r="G16" s="28"/>
      <c r="H16" s="124"/>
      <c r="K16" s="29"/>
      <c r="L16" s="16"/>
      <c r="M16" s="98"/>
      <c r="N16" s="124"/>
      <c r="O16" s="32"/>
      <c r="P16" s="32"/>
      <c r="Q16" s="100"/>
      <c r="R16" s="125"/>
      <c r="AG16" s="59">
        <v>-1</v>
      </c>
      <c r="AH16" s="59">
        <f>COUNTIF(Engine!AL$1:AL$90,AG16)</f>
        <v>0</v>
      </c>
      <c r="AI16" s="115" t="s">
        <v>99</v>
      </c>
    </row>
    <row r="17" spans="1:36" x14ac:dyDescent="0.3">
      <c r="B17" s="57"/>
      <c r="C17" s="46">
        <f>IF(T$23=7,"",IF(T$23&gt;5,10,""))</f>
        <v>10</v>
      </c>
      <c r="D17" s="37"/>
      <c r="E17" s="37"/>
      <c r="F17" s="18"/>
      <c r="G17" s="28"/>
      <c r="H17" s="124"/>
      <c r="K17" s="29"/>
      <c r="L17" s="16"/>
      <c r="M17" s="98"/>
      <c r="N17" s="124"/>
      <c r="Q17" s="100"/>
      <c r="R17" s="125"/>
      <c r="AG17" s="59">
        <v>-2</v>
      </c>
      <c r="AH17" s="59">
        <f>COUNTIF(Engine!AL$1:AL$90,AG17)</f>
        <v>0</v>
      </c>
      <c r="AI17" s="115" t="s">
        <v>100</v>
      </c>
    </row>
    <row r="18" spans="1:36" x14ac:dyDescent="0.3">
      <c r="B18" s="57"/>
      <c r="C18" s="41">
        <f>IF(T$23=6,"",IF(T$23&gt;4,9,""))</f>
        <v>9</v>
      </c>
      <c r="D18" s="39"/>
      <c r="E18" s="37"/>
      <c r="F18" s="18"/>
      <c r="G18" s="28"/>
      <c r="H18" s="124"/>
      <c r="K18" s="31" t="str">
        <f>ROUND(AF13,1)&amp;"%"</f>
        <v>9.3%</v>
      </c>
      <c r="L18" s="16"/>
      <c r="M18" s="98"/>
      <c r="N18" s="124"/>
      <c r="Q18" s="100" t="str">
        <f>IF(T23&lt;6,"",ROUND(AF9,1)&amp;"%")</f>
        <v>33.3%</v>
      </c>
      <c r="R18" s="125"/>
      <c r="AG18" s="59" t="s">
        <v>38</v>
      </c>
      <c r="AH18" s="59">
        <f>COUNTIF(Engine!AK1:AK90,2)</f>
        <v>39</v>
      </c>
    </row>
    <row r="19" spans="1:36" x14ac:dyDescent="0.3">
      <c r="B19" s="57"/>
      <c r="C19" s="46">
        <f>IF(T$23=5,"",IF(T$23&gt;3,8,""))</f>
        <v>8</v>
      </c>
      <c r="D19" s="37"/>
      <c r="E19" s="37"/>
      <c r="F19" s="18"/>
      <c r="G19" s="28"/>
      <c r="H19" s="124"/>
      <c r="K19" s="29"/>
      <c r="L19" s="16"/>
      <c r="M19" s="98"/>
      <c r="N19" s="124"/>
      <c r="Q19" s="100"/>
      <c r="R19" s="125"/>
      <c r="U19" s="59" t="s">
        <v>105</v>
      </c>
      <c r="V19" s="59">
        <f>30+T23</f>
        <v>38</v>
      </c>
      <c r="AG19" s="59" t="s">
        <v>39</v>
      </c>
      <c r="AH19" s="59">
        <f>V23-AH20-AH21</f>
        <v>54</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5"/>
      <c r="T22" s="59" t="s">
        <v>43</v>
      </c>
      <c r="U22" s="59" t="s">
        <v>44</v>
      </c>
      <c r="V22" s="59">
        <f>Data!S6</f>
        <v>54</v>
      </c>
      <c r="W22" s="59" t="s">
        <v>45</v>
      </c>
      <c r="X22" s="59" t="s">
        <v>46</v>
      </c>
      <c r="Y22" s="59">
        <f>Data!R3</f>
        <v>18</v>
      </c>
    </row>
    <row r="23" spans="1:36" x14ac:dyDescent="0.3">
      <c r="B23" s="57"/>
      <c r="C23" s="43">
        <v>4</v>
      </c>
      <c r="D23" s="18"/>
      <c r="E23" s="18"/>
      <c r="F23" s="18"/>
      <c r="G23" s="28"/>
      <c r="H23" s="124"/>
      <c r="K23" s="29"/>
      <c r="L23" s="16"/>
      <c r="M23" s="98"/>
      <c r="N23" s="124"/>
      <c r="Q23" s="100"/>
      <c r="R23" s="125"/>
      <c r="T23" s="59">
        <f>Data!S3</f>
        <v>8</v>
      </c>
      <c r="U23" s="59" t="s">
        <v>47</v>
      </c>
      <c r="V23" s="59">
        <f>Data!S7</f>
        <v>54</v>
      </c>
      <c r="W23" s="59" t="s">
        <v>48</v>
      </c>
      <c r="AH23" s="59" t="s">
        <v>49</v>
      </c>
      <c r="AI23" s="116">
        <v>1</v>
      </c>
    </row>
    <row r="24" spans="1:36" x14ac:dyDescent="0.3">
      <c r="B24" s="57"/>
      <c r="C24" s="45">
        <v>3</v>
      </c>
      <c r="D24" s="44"/>
      <c r="E24" s="18"/>
      <c r="F24" s="18"/>
      <c r="G24" s="28"/>
      <c r="H24" s="124"/>
      <c r="I24" s="33"/>
      <c r="J24" s="33"/>
      <c r="K24" s="31" t="str">
        <f>ROUND(AE12,1)&amp;"%"</f>
        <v>18.5%</v>
      </c>
      <c r="L24" s="16"/>
      <c r="M24" s="98"/>
      <c r="N24" s="124"/>
      <c r="O24" s="33"/>
      <c r="P24" s="33"/>
      <c r="Q24" s="100" t="str">
        <f>IF(T23&lt;7,"",ROUND(AE8,1)&amp;"%")</f>
        <v>83.3%</v>
      </c>
      <c r="R24" s="125"/>
      <c r="T24" s="59" t="str">
        <f>Data!$O3</f>
        <v>Eels</v>
      </c>
      <c r="U24" s="59" t="str">
        <f>Data!$O4</f>
        <v>Sharks</v>
      </c>
      <c r="V24" s="59" t="str">
        <f>Data!$O5</f>
        <v>Broncos</v>
      </c>
      <c r="W24" s="59" t="str">
        <f>Data!$O6</f>
        <v>Bulldogs</v>
      </c>
      <c r="X24" s="59" t="str">
        <f>Data!$O7</f>
        <v>Wests Tigers</v>
      </c>
      <c r="Y24" s="59" t="str">
        <f>Data!$O8</f>
        <v>Cowboys</v>
      </c>
      <c r="Z24" s="59" t="str">
        <f>Data!$O9</f>
        <v>Roosters</v>
      </c>
      <c r="AA24" s="59" t="str">
        <f>Data!$O10</f>
        <v>Raiders</v>
      </c>
    </row>
    <row r="25" spans="1:36" x14ac:dyDescent="0.3">
      <c r="B25" s="57"/>
      <c r="C25" s="43">
        <v>2</v>
      </c>
      <c r="D25" s="18"/>
      <c r="E25" s="18"/>
      <c r="F25" s="18"/>
      <c r="G25" s="28"/>
      <c r="H25" s="124"/>
      <c r="I25" s="32"/>
      <c r="J25" s="32"/>
      <c r="K25" s="42"/>
      <c r="L25" s="16"/>
      <c r="M25" s="98"/>
      <c r="N25" s="124"/>
      <c r="O25" s="32"/>
      <c r="P25" s="32"/>
      <c r="Q25" s="100"/>
      <c r="R25" s="125"/>
      <c r="T25" s="59" t="str">
        <f>Data!$P3</f>
        <v>Rabbitohs</v>
      </c>
      <c r="U25" s="59" t="str">
        <f>Data!$P4</f>
        <v>Titans</v>
      </c>
      <c r="V25" s="59" t="str">
        <f>Data!$P5</f>
        <v>Panthers</v>
      </c>
      <c r="W25" s="59" t="str">
        <f>Data!$P6</f>
        <v>Warriors</v>
      </c>
      <c r="X25" s="59" t="str">
        <f>Data!$P7</f>
        <v>Storm</v>
      </c>
      <c r="Y25" s="59" t="str">
        <f>Data!$P8</f>
        <v>Sea Eagles</v>
      </c>
      <c r="Z25" s="59" t="str">
        <f>Data!$P9</f>
        <v>Dragons</v>
      </c>
      <c r="AA25" s="59" t="str">
        <f>Data!$P10</f>
        <v>Knights</v>
      </c>
    </row>
    <row r="26" spans="1:36" x14ac:dyDescent="0.3">
      <c r="B26" s="57"/>
      <c r="C26" s="41">
        <v>1</v>
      </c>
      <c r="D26" s="39"/>
      <c r="E26" s="37"/>
      <c r="F26" s="18"/>
      <c r="G26" s="28"/>
      <c r="H26" s="123"/>
      <c r="K26" s="29"/>
      <c r="L26" s="16"/>
      <c r="M26" s="98"/>
      <c r="N26" s="124"/>
      <c r="Q26" s="100"/>
      <c r="R26" s="125"/>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3"/>
      <c r="K27" s="31" t="str">
        <f>ROUND(AF12,1)&amp;"%"</f>
        <v>81.5%</v>
      </c>
      <c r="L27" s="16"/>
      <c r="M27" s="98"/>
      <c r="N27" s="124"/>
      <c r="Q27" s="100" t="str">
        <f>IF(T23&lt;7,"",ROUND(AF8,1)&amp;"%")</f>
        <v>16.7%</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3"/>
      <c r="K28" s="29"/>
      <c r="L28" s="16"/>
      <c r="M28" s="98"/>
      <c r="N28" s="124"/>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128</v>
      </c>
      <c r="F31" s="18"/>
      <c r="G31" s="34" t="str">
        <f>IF($AI$23=1,Data!Q6,"")</f>
        <v>Saturday 3:00pm AEST</v>
      </c>
      <c r="H31" s="28"/>
      <c r="I31" s="28"/>
      <c r="J31" s="28"/>
      <c r="K31" s="29"/>
      <c r="L31" s="16"/>
      <c r="M31" s="98" t="str">
        <f>IF(T23=6,"",IF($AI$23=1,Data!Q10,""))</f>
        <v>Sunday 4:05pm AEST</v>
      </c>
      <c r="N31" s="28"/>
      <c r="O31" s="28"/>
      <c r="P31" s="28"/>
      <c r="Q31" s="99"/>
      <c r="R31" s="125"/>
    </row>
    <row r="32" spans="1:36" x14ac:dyDescent="0.3">
      <c r="A32" s="55"/>
      <c r="B32" s="57">
        <v>2</v>
      </c>
      <c r="C32" s="129" t="s">
        <v>55</v>
      </c>
      <c r="D32" s="130"/>
      <c r="E32" s="30"/>
      <c r="F32" s="18"/>
      <c r="G32" s="28"/>
      <c r="H32" s="128"/>
      <c r="K32" s="29"/>
      <c r="L32" s="16"/>
      <c r="M32" s="99"/>
      <c r="N32" s="124"/>
      <c r="Q32" s="99"/>
      <c r="R32" s="125"/>
    </row>
    <row r="33" spans="1:253" x14ac:dyDescent="0.3">
      <c r="A33" s="55"/>
      <c r="B33" s="57">
        <v>3</v>
      </c>
      <c r="C33" s="129" t="s">
        <v>56</v>
      </c>
      <c r="D33" s="130"/>
      <c r="E33" s="30"/>
      <c r="F33" s="18"/>
      <c r="G33" s="28"/>
      <c r="H33" s="128"/>
      <c r="K33" s="31" t="str">
        <f>ROUND(AE11,1)&amp;"%"</f>
        <v>87%</v>
      </c>
      <c r="L33" s="16"/>
      <c r="M33" s="99"/>
      <c r="N33" s="124"/>
      <c r="O33" s="33"/>
      <c r="P33" s="33"/>
      <c r="Q33" s="103" t="str">
        <f>IF(T23&lt;8,"",ROUND(AE7,1)&amp;"%")</f>
        <v>42.6%</v>
      </c>
      <c r="R33" s="125"/>
    </row>
    <row r="34" spans="1:253" x14ac:dyDescent="0.3">
      <c r="A34" s="55"/>
      <c r="B34" s="57">
        <v>4</v>
      </c>
      <c r="C34" s="129" t="s">
        <v>57</v>
      </c>
      <c r="D34" s="130"/>
      <c r="E34" s="30"/>
      <c r="F34" s="18"/>
      <c r="G34" s="28"/>
      <c r="H34" s="128"/>
      <c r="K34" s="29"/>
      <c r="M34" s="99"/>
      <c r="N34" s="124"/>
      <c r="O34" s="32"/>
      <c r="P34" s="32"/>
      <c r="Q34" s="99"/>
      <c r="R34" s="125"/>
    </row>
    <row r="35" spans="1:253" x14ac:dyDescent="0.3">
      <c r="A35" s="55"/>
      <c r="B35" s="57">
        <v>5</v>
      </c>
      <c r="C35" s="129" t="str">
        <f>IF(T23&lt;5,"","Select Winner - Game 5:")</f>
        <v>Select Winner - Game 5:</v>
      </c>
      <c r="D35" s="129"/>
      <c r="E35" s="30"/>
      <c r="F35" s="18"/>
      <c r="G35" s="28"/>
      <c r="H35" s="123"/>
      <c r="K35" s="29"/>
      <c r="M35" s="99"/>
      <c r="N35" s="123"/>
      <c r="Q35" s="99"/>
      <c r="R35" s="4"/>
    </row>
    <row r="36" spans="1:253" x14ac:dyDescent="0.3">
      <c r="A36" s="55"/>
      <c r="B36" s="57">
        <v>6</v>
      </c>
      <c r="C36" s="129" t="str">
        <f>IF(T23&lt;6,"","Select Winner - Game 6:")</f>
        <v>Select Winner - Game 6:</v>
      </c>
      <c r="D36" s="129"/>
      <c r="E36" s="30"/>
      <c r="F36" s="18"/>
      <c r="G36" s="28"/>
      <c r="H36" s="123"/>
      <c r="K36" s="31" t="str">
        <f>ROUND(AF11,1)&amp;"%"</f>
        <v>13%</v>
      </c>
      <c r="M36" s="99"/>
      <c r="N36" s="123"/>
      <c r="Q36" s="103" t="str">
        <f>IF(T23&lt;8,"",ROUND(AF7,1)&amp;"%")</f>
        <v>57.4%</v>
      </c>
      <c r="R36" s="125"/>
    </row>
    <row r="37" spans="1:253" x14ac:dyDescent="0.3">
      <c r="A37" s="55"/>
      <c r="B37" s="57">
        <v>7</v>
      </c>
      <c r="C37" s="129" t="str">
        <f>IF(T23&lt;7,"","Select Winner - Game 7:")</f>
        <v>Select Winner - Game 7:</v>
      </c>
      <c r="D37" s="129"/>
      <c r="E37" s="30"/>
      <c r="F37" s="18"/>
      <c r="G37" s="28"/>
      <c r="H37" s="123"/>
      <c r="K37" s="29"/>
      <c r="M37" s="99"/>
      <c r="N37" s="123"/>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Eels</v>
      </c>
      <c r="D43" s="22" t="str">
        <f t="shared" ref="D43:F43" si="3">U24</f>
        <v>Sharks</v>
      </c>
      <c r="E43" s="22" t="str">
        <f t="shared" si="3"/>
        <v>Broncos</v>
      </c>
      <c r="F43" s="22" t="str">
        <f t="shared" si="3"/>
        <v>Bulldogs</v>
      </c>
      <c r="G43" s="22" t="str">
        <f>IF($T$23&gt;4,X24,"")</f>
        <v>Wests Tigers</v>
      </c>
      <c r="H43" s="22" t="str">
        <f>IF($T$23&gt;5,Y24,"")</f>
        <v>Cowboys</v>
      </c>
      <c r="I43" s="22" t="str">
        <f>IF($T$23&gt;6,Z24,"")</f>
        <v>Roosters</v>
      </c>
      <c r="J43" s="22" t="str">
        <f>IF($T$23&gt;7,AA24,"")</f>
        <v>Raiders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Rabbitohs</v>
      </c>
      <c r="D44" s="22" t="str">
        <f t="shared" si="4"/>
        <v>Titans</v>
      </c>
      <c r="E44" s="22" t="str">
        <f t="shared" si="4"/>
        <v>Panthers</v>
      </c>
      <c r="F44" s="22" t="str">
        <f t="shared" si="4"/>
        <v>Warriors</v>
      </c>
      <c r="G44" s="22" t="str">
        <f t="shared" ref="G44" si="5">IF($T$23&gt;4,X25,"")</f>
        <v>Storm</v>
      </c>
      <c r="H44" s="22" t="str">
        <f t="shared" ref="H44" si="6">IF($T$23&gt;5,Y25,"")</f>
        <v>Sea Eagles</v>
      </c>
      <c r="I44" s="22" t="str">
        <f t="shared" ref="I44" si="7">IF($T$23&gt;6,Z25,"")</f>
        <v>Dragons</v>
      </c>
      <c r="J44" s="22" t="str">
        <f t="shared" ref="J44" si="8">IF($T$23&gt;7,AA25,"")</f>
        <v>Knights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pYR0dDJ842eeDR+68MTgWW35kybdS9YxiGWb98/PB78+4xgrMXhB5/vRV9Fuwb6Pr2vqMycLOXKtOiJblTR6OA==" saltValue="07/ZioV+Od+H694dENDrf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Eels</v>
      </c>
      <c r="C4" s="75">
        <v>16</v>
      </c>
      <c r="D4" s="75">
        <v>32</v>
      </c>
      <c r="E4" s="2" t="str">
        <f>Data!P3</f>
        <v>Rabbitohs</v>
      </c>
      <c r="G4" s="83"/>
      <c r="H4" s="83"/>
      <c r="I4" s="81"/>
      <c r="L4" s="66" t="str">
        <f>IF(P13="","",VLOOKUP($P13,$P13:$AB13,3,FALSE))</f>
        <v/>
      </c>
      <c r="M4" s="86" t="str">
        <f>IF(P13="","",VLOOKUP($P13,$P13:$AB13,4,FALSE))</f>
        <v/>
      </c>
      <c r="N4" s="66" t="str">
        <f>IF(P13="","",VLOOKUP($P13,$P13:$AB13,5,FALSE))</f>
        <v/>
      </c>
      <c r="P4" s="83" t="str">
        <f t="shared" ref="P4:P11" si="0">IF(D4="","",IF(C4&gt;D4,B4,E4))</f>
        <v>Rabbitohs</v>
      </c>
      <c r="Q4" s="83" t="str">
        <f t="shared" ref="Q4:Q11" si="1">IF($D4="","",IF($C4&lt;$D4,$B4,$E4))</f>
        <v>Eels</v>
      </c>
      <c r="R4" s="93" t="s">
        <v>15</v>
      </c>
      <c r="S4" s="18" t="s">
        <v>105</v>
      </c>
      <c r="T4" s="83">
        <f>3+T3</f>
        <v>11</v>
      </c>
    </row>
    <row r="5" spans="1:28" x14ac:dyDescent="0.3">
      <c r="A5" s="60">
        <v>2</v>
      </c>
      <c r="B5" s="2" t="str">
        <f>Data!O4</f>
        <v>Sharks</v>
      </c>
      <c r="C5" s="75"/>
      <c r="D5" s="75"/>
      <c r="E5" s="2" t="str">
        <f>Data!P4</f>
        <v>Titans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Broncos</v>
      </c>
      <c r="C6" s="75"/>
      <c r="D6" s="75"/>
      <c r="E6" s="2" t="str">
        <f>Data!P5</f>
        <v>Panthers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Bulldogs</v>
      </c>
      <c r="C7" s="75"/>
      <c r="D7" s="75"/>
      <c r="E7" s="2" t="str">
        <f>Data!P6</f>
        <v>Warriors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Wests Tigers</v>
      </c>
      <c r="C8" s="75"/>
      <c r="D8" s="75"/>
      <c r="E8" s="2" t="str">
        <f>IF(Data!S$3&lt;'Live Ladder'!$A8,"",Data!P7)</f>
        <v>Storm</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Cowboys</v>
      </c>
      <c r="C9" s="75"/>
      <c r="D9" s="75"/>
      <c r="E9" s="2" t="str">
        <f>IF(Data!S$3&lt;'Live Ladder'!$A9,"",Data!P8)</f>
        <v>Sea Eagles</v>
      </c>
      <c r="G9" s="89"/>
      <c r="H9" s="90"/>
      <c r="I9" s="76"/>
      <c r="J9" s="76"/>
      <c r="K9" s="77"/>
      <c r="L9" s="77"/>
      <c r="M9" s="76"/>
      <c r="N9" s="76"/>
      <c r="P9" s="83" t="str">
        <f t="shared" ref="P9" si="2">IF(D9="","",IF(C9&gt;D9,B9,E9))</f>
        <v/>
      </c>
      <c r="Q9" s="83" t="str">
        <f t="shared" si="1"/>
        <v/>
      </c>
    </row>
    <row r="10" spans="1:28" x14ac:dyDescent="0.3">
      <c r="A10" s="60">
        <v>7</v>
      </c>
      <c r="B10" s="2" t="str">
        <f>IF(Data!S$3&lt;'Live Ladder'!$A10,"",Data!O9)</f>
        <v>Roosters</v>
      </c>
      <c r="C10" s="75"/>
      <c r="D10" s="75"/>
      <c r="E10" s="2" t="str">
        <f>IF(Data!S$3&lt;'Live Ladder'!$A10,"",Data!P9)</f>
        <v>Dragons</v>
      </c>
      <c r="J10" s="62" t="str">
        <f>IF(J8="No Tips","Tips not submitted","")</f>
        <v/>
      </c>
      <c r="P10" s="83" t="str">
        <f t="shared" si="0"/>
        <v/>
      </c>
      <c r="Q10" s="83" t="str">
        <f t="shared" si="1"/>
        <v/>
      </c>
    </row>
    <row r="11" spans="1:28" x14ac:dyDescent="0.3">
      <c r="A11" s="60">
        <v>8</v>
      </c>
      <c r="B11" s="2" t="str">
        <f>IF(Data!S$3&lt;'Live Ladder'!$A11,"",Data!O10)</f>
        <v>Raiders</v>
      </c>
      <c r="C11" s="75"/>
      <c r="D11" s="75"/>
      <c r="E11" s="2" t="str">
        <f>IF(Data!S$3&lt;'Live Ladder'!$A11,"",Data!P10)</f>
        <v>Knights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1</v>
      </c>
      <c r="H15" s="9">
        <f>N15-VLOOKUP($A15,Engine!$D:$S,16,FALSE)</f>
        <v>32</v>
      </c>
      <c r="I15" s="10"/>
      <c r="J15" s="9" t="str">
        <f>IF(VLOOKUP(E15,Engine!H:Q,10,FALSE)=0,"",VLOOKUP(E15,Engine!H:Q,10,FALSE))</f>
        <v>Storm</v>
      </c>
      <c r="K15" s="74" t="str">
        <f t="shared" ref="K15:K46" si="3">IF(COUNTIF(P$4:P$11,J15)=1,R$6,IF(COUNTIF(Q$4:Q$11,J15)=1,R$7,""))</f>
        <v/>
      </c>
      <c r="L15" s="8">
        <f>VLOOKUP($A15,Engine!$D:$Z,22,FALSE)</f>
        <v>99</v>
      </c>
      <c r="M15" s="73"/>
      <c r="N15" s="8">
        <f>VLOOKUP($A15,Engine!$D:$Z,23,FALSE)</f>
        <v>3244</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1</v>
      </c>
      <c r="H16" s="9">
        <f>N16-VLOOKUP($A16,Engine!$D:$S,16,FALSE)</f>
        <v>32</v>
      </c>
      <c r="I16" s="10"/>
      <c r="J16" s="9" t="str">
        <f>IF(VLOOKUP(E16,Engine!H:Q,10,FALSE)=0,"",VLOOKUP(E16,Engine!H:Q,10,FALSE))</f>
        <v>Roosters</v>
      </c>
      <c r="K16" s="74" t="str">
        <f t="shared" si="3"/>
        <v/>
      </c>
      <c r="L16" s="8">
        <f>VLOOKUP($A16,Engine!$D:$Z,22,FALSE)</f>
        <v>97</v>
      </c>
      <c r="M16" s="73"/>
      <c r="N16" s="8">
        <f>VLOOKUP($A16,Engine!$D:$Z,23,FALSE)</f>
        <v>3167</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UpthePamfers</v>
      </c>
      <c r="F17" s="73"/>
      <c r="G17" s="9">
        <f>L17-VLOOKUP($A17,Engine!$D:$S,15,FALSE)</f>
        <v>1</v>
      </c>
      <c r="H17" s="9">
        <f>N17-VLOOKUP($A17,Engine!$D:$S,16,FALSE)</f>
        <v>32</v>
      </c>
      <c r="I17" s="10"/>
      <c r="J17" s="9" t="str">
        <f>IF(VLOOKUP(E17,Engine!H:Q,10,FALSE)=0,"",VLOOKUP(E17,Engine!H:Q,10,FALSE))</f>
        <v>Sharks</v>
      </c>
      <c r="K17" s="74" t="str">
        <f t="shared" si="3"/>
        <v/>
      </c>
      <c r="L17" s="8">
        <f>VLOOKUP($A17,Engine!$D:$Z,22,FALSE)</f>
        <v>95</v>
      </c>
      <c r="M17" s="73"/>
      <c r="N17" s="8">
        <f>VLOOKUP($A17,Engine!$D:$Z,23,FALSE)</f>
        <v>3233</v>
      </c>
      <c r="O17" s="91"/>
    </row>
    <row r="18" spans="1:15" s="63" customFormat="1" x14ac:dyDescent="0.3">
      <c r="A18" s="70">
        <f t="shared" si="5"/>
        <v>4</v>
      </c>
      <c r="B18" s="8">
        <f t="shared" si="4"/>
        <v>4</v>
      </c>
      <c r="C18" s="71" t="str">
        <f>VLOOKUP($A18,Engine!$D:$H,2,FALSE)</f>
        <v>u</v>
      </c>
      <c r="D18" s="72" t="str">
        <f>VLOOKUP($A18,Engine!$D:$H,3,FALSE)</f>
        <v/>
      </c>
      <c r="E18" s="8" t="str">
        <f>VLOOKUP($A18,Engine!$D:$H,5,FALSE)</f>
        <v>Magnum</v>
      </c>
      <c r="F18" s="73"/>
      <c r="G18" s="9">
        <f>L18-VLOOKUP($A18,Engine!$D:$S,15,FALSE)</f>
        <v>1</v>
      </c>
      <c r="H18" s="9">
        <f>N18-VLOOKUP($A18,Engine!$D:$S,16,FALSE)</f>
        <v>32</v>
      </c>
      <c r="I18" s="10"/>
      <c r="J18" s="9" t="str">
        <f>IF(VLOOKUP(E18,Engine!H:Q,10,FALSE)=0,"",VLOOKUP(E18,Engine!H:Q,10,FALSE))</f>
        <v>Roosters</v>
      </c>
      <c r="K18" s="74" t="str">
        <f t="shared" si="3"/>
        <v/>
      </c>
      <c r="L18" s="8">
        <f>VLOOKUP($A18,Engine!$D:$Z,22,FALSE)</f>
        <v>94</v>
      </c>
      <c r="M18" s="73"/>
      <c r="N18" s="8">
        <f>VLOOKUP($A18,Engine!$D:$Z,23,FALSE)</f>
        <v>3093</v>
      </c>
      <c r="O18" s="91"/>
    </row>
    <row r="19" spans="1:15" s="63" customFormat="1" x14ac:dyDescent="0.3">
      <c r="A19" s="70">
        <f t="shared" si="5"/>
        <v>5</v>
      </c>
      <c r="B19" s="8">
        <f t="shared" si="4"/>
        <v>5</v>
      </c>
      <c r="C19" s="71" t="str">
        <f>VLOOKUP($A19,Engine!$D:$H,2,FALSE)</f>
        <v>u</v>
      </c>
      <c r="D19" s="72" t="str">
        <f>VLOOKUP($A19,Engine!$D:$H,3,FALSE)</f>
        <v/>
      </c>
      <c r="E19" s="8" t="str">
        <f>VLOOKUP($A19,Engine!$D:$H,5,FALSE)</f>
        <v>murch</v>
      </c>
      <c r="F19" s="73"/>
      <c r="G19" s="9">
        <f>L19-VLOOKUP($A19,Engine!$D:$S,15,FALSE)</f>
        <v>1</v>
      </c>
      <c r="H19" s="9">
        <f>N19-VLOOKUP($A19,Engine!$D:$S,16,FALSE)</f>
        <v>32</v>
      </c>
      <c r="I19" s="10"/>
      <c r="J19" s="9" t="str">
        <f>IF(VLOOKUP(E19,Engine!H:Q,10,FALSE)=0,"",VLOOKUP(E19,Engine!H:Q,10,FALSE))</f>
        <v>Sharks</v>
      </c>
      <c r="K19" s="74" t="str">
        <f t="shared" si="3"/>
        <v/>
      </c>
      <c r="L19" s="8">
        <f>VLOOKUP($A19,Engine!$D:$Z,22,FALSE)</f>
        <v>92</v>
      </c>
      <c r="M19" s="73"/>
      <c r="N19" s="8">
        <f>VLOOKUP($A19,Engine!$D:$Z,23,FALSE)</f>
        <v>3229</v>
      </c>
      <c r="O19" s="78"/>
    </row>
    <row r="20" spans="1:15" s="63" customFormat="1" x14ac:dyDescent="0.3">
      <c r="A20" s="70">
        <f t="shared" si="5"/>
        <v>6</v>
      </c>
      <c r="B20" s="8">
        <f t="shared" si="4"/>
        <v>6</v>
      </c>
      <c r="C20" s="71" t="str">
        <f>VLOOKUP($A20,Engine!$D:$H,2,FALSE)</f>
        <v>u</v>
      </c>
      <c r="D20" s="72" t="str">
        <f>VLOOKUP($A20,Engine!$D:$H,3,FALSE)</f>
        <v/>
      </c>
      <c r="E20" s="8" t="str">
        <f>VLOOKUP($A20,Engine!$D:$H,5,FALSE)</f>
        <v>Rossco the Pom</v>
      </c>
      <c r="F20" s="73"/>
      <c r="G20" s="9">
        <f>L20-VLOOKUP($A20,Engine!$D:$S,15,FALSE)</f>
        <v>1</v>
      </c>
      <c r="H20" s="9">
        <f>N20-VLOOKUP($A20,Engine!$D:$S,16,FALSE)</f>
        <v>32</v>
      </c>
      <c r="I20" s="10"/>
      <c r="J20" s="9" t="str">
        <f>IF(VLOOKUP(E20,Engine!H:Q,10,FALSE)=0,"",VLOOKUP(E20,Engine!H:Q,10,FALSE))</f>
        <v>Storm</v>
      </c>
      <c r="K20" s="74" t="str">
        <f t="shared" si="3"/>
        <v/>
      </c>
      <c r="L20" s="8">
        <f>VLOOKUP($A20,Engine!$D:$Z,22,FALSE)</f>
        <v>92</v>
      </c>
      <c r="M20" s="73"/>
      <c r="N20" s="8">
        <f>VLOOKUP($A20,Engine!$D:$Z,23,FALSE)</f>
        <v>3154</v>
      </c>
      <c r="O20" s="78"/>
    </row>
    <row r="21" spans="1:15" s="63" customFormat="1" x14ac:dyDescent="0.3">
      <c r="A21" s="70">
        <f t="shared" si="5"/>
        <v>7</v>
      </c>
      <c r="B21" s="8">
        <f t="shared" si="4"/>
        <v>7</v>
      </c>
      <c r="C21" s="71" t="str">
        <f>VLOOKUP($A21,Engine!$D:$H,2,FALSE)</f>
        <v>u</v>
      </c>
      <c r="D21" s="72" t="str">
        <f>VLOOKUP($A21,Engine!$D:$H,3,FALSE)</f>
        <v/>
      </c>
      <c r="E21" s="8" t="str">
        <f>VLOOKUP($A21,Engine!$D:$H,5,FALSE)</f>
        <v>Carlos</v>
      </c>
      <c r="F21" s="73"/>
      <c r="G21" s="9">
        <f>L21-VLOOKUP($A21,Engine!$D:$S,15,FALSE)</f>
        <v>1</v>
      </c>
      <c r="H21" s="9">
        <f>N21-VLOOKUP($A21,Engine!$D:$S,16,FALSE)</f>
        <v>32</v>
      </c>
      <c r="I21" s="10"/>
      <c r="J21" s="9" t="str">
        <f>IF(VLOOKUP(E21,Engine!H:Q,10,FALSE)=0,"",VLOOKUP(E21,Engine!H:Q,10,FALSE))</f>
        <v>Storm</v>
      </c>
      <c r="K21" s="74" t="str">
        <f t="shared" si="3"/>
        <v/>
      </c>
      <c r="L21" s="8">
        <f>VLOOKUP($A21,Engine!$D:$Z,22,FALSE)</f>
        <v>91</v>
      </c>
      <c r="M21" s="73"/>
      <c r="N21" s="8">
        <f>VLOOKUP($A21,Engine!$D:$Z,23,FALSE)</f>
        <v>3180</v>
      </c>
      <c r="O21" s="78"/>
    </row>
    <row r="22" spans="1:15" s="63" customFormat="1" x14ac:dyDescent="0.3">
      <c r="A22" s="70">
        <f t="shared" si="5"/>
        <v>8</v>
      </c>
      <c r="B22" s="8">
        <f t="shared" si="4"/>
        <v>8</v>
      </c>
      <c r="C22" s="71" t="str">
        <f>VLOOKUP($A22,Engine!$D:$H,2,FALSE)</f>
        <v>p</v>
      </c>
      <c r="D22" s="72">
        <f>VLOOKUP($A22,Engine!$D:$H,3,FALSE)</f>
        <v>4</v>
      </c>
      <c r="E22" s="8" t="str">
        <f>VLOOKUP($A22,Engine!$D:$H,5,FALSE)</f>
        <v>Admireel</v>
      </c>
      <c r="F22" s="73"/>
      <c r="G22" s="9">
        <f>L22-VLOOKUP($A22,Engine!$D:$S,15,FALSE)</f>
        <v>3</v>
      </c>
      <c r="H22" s="9">
        <f>N22-VLOOKUP($A22,Engine!$D:$S,16,FALSE)</f>
        <v>32</v>
      </c>
      <c r="I22" s="10"/>
      <c r="J22" s="9" t="str">
        <f>IF(VLOOKUP(E22,Engine!H:Q,10,FALSE)=0,"",VLOOKUP(E22,Engine!H:Q,10,FALSE))</f>
        <v>Rabbitohs</v>
      </c>
      <c r="K22" s="74" t="str">
        <f t="shared" si="3"/>
        <v>ü</v>
      </c>
      <c r="L22" s="8">
        <f>VLOOKUP($A22,Engine!$D:$Z,22,FALSE)</f>
        <v>90</v>
      </c>
      <c r="M22" s="73"/>
      <c r="N22" s="8">
        <f>VLOOKUP($A22,Engine!$D:$Z,23,FALSE)</f>
        <v>3185</v>
      </c>
      <c r="O22" s="78"/>
    </row>
    <row r="23" spans="1:15" s="63" customFormat="1" x14ac:dyDescent="0.3">
      <c r="A23" s="70">
        <f t="shared" si="5"/>
        <v>9</v>
      </c>
      <c r="B23" s="8">
        <f t="shared" si="4"/>
        <v>9</v>
      </c>
      <c r="C23" s="71" t="str">
        <f>VLOOKUP($A23,Engine!$D:$H,2,FALSE)</f>
        <v>q</v>
      </c>
      <c r="D23" s="72">
        <f>VLOOKUP($A23,Engine!$D:$H,3,FALSE)</f>
        <v>1</v>
      </c>
      <c r="E23" s="8" t="str">
        <f>VLOOKUP($A23,Engine!$D:$H,5,FALSE)</f>
        <v>SMOG</v>
      </c>
      <c r="F23" s="73"/>
      <c r="G23" s="9">
        <f>L23-VLOOKUP($A23,Engine!$D:$S,15,FALSE)</f>
        <v>1</v>
      </c>
      <c r="H23" s="9">
        <f>N23-VLOOKUP($A23,Engine!$D:$S,16,FALSE)</f>
        <v>32</v>
      </c>
      <c r="I23" s="10"/>
      <c r="J23" s="9" t="str">
        <f>IF(VLOOKUP(E23,Engine!H:Q,10,FALSE)=0,"",VLOOKUP(E23,Engine!H:Q,10,FALSE))</f>
        <v>Storm</v>
      </c>
      <c r="K23" s="74" t="str">
        <f t="shared" si="3"/>
        <v/>
      </c>
      <c r="L23" s="8">
        <f>VLOOKUP($A23,Engine!$D:$Z,22,FALSE)</f>
        <v>90</v>
      </c>
      <c r="M23" s="73"/>
      <c r="N23" s="8">
        <f>VLOOKUP($A23,Engine!$D:$Z,23,FALSE)</f>
        <v>3182</v>
      </c>
      <c r="O23" s="78"/>
    </row>
    <row r="24" spans="1:15" s="63" customFormat="1" x14ac:dyDescent="0.3">
      <c r="A24" s="70">
        <f t="shared" si="5"/>
        <v>10</v>
      </c>
      <c r="B24" s="8">
        <f t="shared" si="4"/>
        <v>10</v>
      </c>
      <c r="C24" s="71" t="str">
        <f>VLOOKUP($A24,Engine!$D:$H,2,FALSE)</f>
        <v>q</v>
      </c>
      <c r="D24" s="72">
        <f>VLOOKUP($A24,Engine!$D:$H,3,FALSE)</f>
        <v>1</v>
      </c>
      <c r="E24" s="8" t="str">
        <f>VLOOKUP($A24,Engine!$D:$H,5,FALSE)</f>
        <v>I miss Benji</v>
      </c>
      <c r="F24" s="73"/>
      <c r="G24" s="9">
        <f>L24-VLOOKUP($A24,Engine!$D:$S,15,FALSE)</f>
        <v>0</v>
      </c>
      <c r="H24" s="9">
        <f>N24-VLOOKUP($A24,Engine!$D:$S,16,FALSE)</f>
        <v>16</v>
      </c>
      <c r="I24" s="10"/>
      <c r="J24" s="9" t="str">
        <f>IF(VLOOKUP(E24,Engine!H:Q,10,FALSE)=0,"",VLOOKUP(E24,Engine!H:Q,10,FALSE))</f>
        <v>Roosters</v>
      </c>
      <c r="K24" s="74" t="str">
        <f t="shared" si="3"/>
        <v/>
      </c>
      <c r="L24" s="8">
        <f>VLOOKUP($A24,Engine!$D:$Z,22,FALSE)</f>
        <v>89</v>
      </c>
      <c r="M24" s="73"/>
      <c r="N24" s="8">
        <f>VLOOKUP($A24,Engine!$D:$Z,23,FALSE)</f>
        <v>3111</v>
      </c>
      <c r="O24" s="78"/>
    </row>
    <row r="25" spans="1:15" s="63" customFormat="1" x14ac:dyDescent="0.3">
      <c r="A25" s="70">
        <f t="shared" si="5"/>
        <v>11</v>
      </c>
      <c r="B25" s="8">
        <f t="shared" si="4"/>
        <v>11</v>
      </c>
      <c r="C25" s="71" t="str">
        <f>VLOOKUP($A25,Engine!$D:$H,2,FALSE)</f>
        <v>u</v>
      </c>
      <c r="D25" s="72" t="str">
        <f>VLOOKUP($A25,Engine!$D:$H,3,FALSE)</f>
        <v/>
      </c>
      <c r="E25" s="8" t="str">
        <f>VLOOKUP($A25,Engine!$D:$H,5,FALSE)</f>
        <v>Bart Simpson</v>
      </c>
      <c r="F25" s="73"/>
      <c r="G25" s="9">
        <f>L25-VLOOKUP($A25,Engine!$D:$S,15,FALSE)</f>
        <v>1</v>
      </c>
      <c r="H25" s="9">
        <f>N25-VLOOKUP($A25,Engine!$D:$S,16,FALSE)</f>
        <v>32</v>
      </c>
      <c r="I25" s="10"/>
      <c r="J25" s="9" t="str">
        <f>IF(VLOOKUP(E25,Engine!H:Q,10,FALSE)=0,"",VLOOKUP(E25,Engine!H:Q,10,FALSE))</f>
        <v>Storm</v>
      </c>
      <c r="K25" s="74" t="str">
        <f t="shared" si="3"/>
        <v/>
      </c>
      <c r="L25" s="8">
        <f>VLOOKUP($A25,Engine!$D:$Z,22,FALSE)</f>
        <v>88</v>
      </c>
      <c r="M25" s="73"/>
      <c r="N25" s="8">
        <f>VLOOKUP($A25,Engine!$D:$Z,23,FALSE)</f>
        <v>3196</v>
      </c>
      <c r="O25" s="78"/>
    </row>
    <row r="26" spans="1:15" s="63" customFormat="1" x14ac:dyDescent="0.3">
      <c r="A26" s="70">
        <f t="shared" si="5"/>
        <v>12</v>
      </c>
      <c r="B26" s="8">
        <f t="shared" si="4"/>
        <v>12</v>
      </c>
      <c r="C26" s="71" t="str">
        <f>VLOOKUP($A26,Engine!$D:$H,2,FALSE)</f>
        <v>p</v>
      </c>
      <c r="D26" s="72">
        <f>VLOOKUP($A26,Engine!$D:$H,3,FALSE)</f>
        <v>1</v>
      </c>
      <c r="E26" s="8" t="str">
        <f>VLOOKUP($A26,Engine!$D:$H,5,FALSE)</f>
        <v>Budgie</v>
      </c>
      <c r="F26" s="73"/>
      <c r="G26" s="9">
        <f>L26-VLOOKUP($A26,Engine!$D:$S,15,FALSE)</f>
        <v>1</v>
      </c>
      <c r="H26" s="9">
        <f>N26-VLOOKUP($A26,Engine!$D:$S,16,FALSE)</f>
        <v>32</v>
      </c>
      <c r="I26" s="10"/>
      <c r="J26" s="9" t="str">
        <f>IF(VLOOKUP(E26,Engine!H:Q,10,FALSE)=0,"",VLOOKUP(E26,Engine!H:Q,10,FALSE))</f>
        <v>Storm</v>
      </c>
      <c r="K26" s="74" t="str">
        <f t="shared" si="3"/>
        <v/>
      </c>
      <c r="L26" s="8">
        <f>VLOOKUP($A26,Engine!$D:$Z,22,FALSE)</f>
        <v>88</v>
      </c>
      <c r="M26" s="73"/>
      <c r="N26" s="8">
        <f>VLOOKUP($A26,Engine!$D:$Z,23,FALSE)</f>
        <v>3136</v>
      </c>
      <c r="O26" s="78"/>
    </row>
    <row r="27" spans="1:15" s="63" customFormat="1" x14ac:dyDescent="0.3">
      <c r="A27" s="70">
        <f t="shared" si="5"/>
        <v>13</v>
      </c>
      <c r="B27" s="8">
        <f t="shared" si="4"/>
        <v>13</v>
      </c>
      <c r="C27" s="71" t="str">
        <f>VLOOKUP($A27,Engine!$D:$H,2,FALSE)</f>
        <v>q</v>
      </c>
      <c r="D27" s="72">
        <f>VLOOKUP($A27,Engine!$D:$H,3,FALSE)</f>
        <v>3</v>
      </c>
      <c r="E27" s="8" t="str">
        <f>VLOOKUP($A27,Engine!$D:$H,5,FALSE)</f>
        <v>NotLast</v>
      </c>
      <c r="F27" s="73"/>
      <c r="G27" s="9">
        <f>L27-VLOOKUP($A27,Engine!$D:$S,15,FALSE)</f>
        <v>0</v>
      </c>
      <c r="H27" s="9">
        <f>N27-VLOOKUP($A27,Engine!$D:$S,16,FALSE)</f>
        <v>16</v>
      </c>
      <c r="I27" s="10"/>
      <c r="J27" s="9" t="str">
        <f>IF(VLOOKUP(E27,Engine!H:Q,10,FALSE)=0,"",VLOOKUP(E27,Engine!H:Q,10,FALSE))</f>
        <v>Roosters</v>
      </c>
      <c r="K27" s="74" t="str">
        <f t="shared" si="3"/>
        <v/>
      </c>
      <c r="L27" s="8">
        <f>VLOOKUP($A27,Engine!$D:$Z,22,FALSE)</f>
        <v>88</v>
      </c>
      <c r="M27" s="73"/>
      <c r="N27" s="8">
        <f>VLOOKUP($A27,Engine!$D:$Z,23,FALSE)</f>
        <v>3131</v>
      </c>
      <c r="O27" s="78"/>
    </row>
    <row r="28" spans="1:15" s="63" customFormat="1" x14ac:dyDescent="0.3">
      <c r="A28" s="70">
        <f t="shared" si="5"/>
        <v>14</v>
      </c>
      <c r="B28" s="8">
        <f t="shared" si="4"/>
        <v>14</v>
      </c>
      <c r="C28" s="71" t="str">
        <f>VLOOKUP($A28,Engine!$D:$H,2,FALSE)</f>
        <v>p</v>
      </c>
      <c r="D28" s="72">
        <f>VLOOKUP($A28,Engine!$D:$H,3,FALSE)</f>
        <v>1</v>
      </c>
      <c r="E28" s="8" t="str">
        <f>VLOOKUP($A28,Engine!$D:$H,5,FALSE)</f>
        <v>Panthers29</v>
      </c>
      <c r="F28" s="73"/>
      <c r="G28" s="9">
        <f>L28-VLOOKUP($A28,Engine!$D:$S,15,FALSE)</f>
        <v>1</v>
      </c>
      <c r="H28" s="9">
        <f>N28-VLOOKUP($A28,Engine!$D:$S,16,FALSE)</f>
        <v>32</v>
      </c>
      <c r="I28" s="10"/>
      <c r="J28" s="9" t="str">
        <f>IF(VLOOKUP(E28,Engine!H:Q,10,FALSE)=0,"",VLOOKUP(E28,Engine!H:Q,10,FALSE))</f>
        <v>Roosters</v>
      </c>
      <c r="K28" s="74" t="str">
        <f t="shared" si="3"/>
        <v/>
      </c>
      <c r="L28" s="8">
        <f>VLOOKUP($A28,Engine!$D:$Z,22,FALSE)</f>
        <v>88</v>
      </c>
      <c r="M28" s="73"/>
      <c r="N28" s="8">
        <f>VLOOKUP($A28,Engine!$D:$Z,23,FALSE)</f>
        <v>3099</v>
      </c>
      <c r="O28" s="78"/>
    </row>
    <row r="29" spans="1:15" s="63" customFormat="1" x14ac:dyDescent="0.3">
      <c r="A29" s="70">
        <f t="shared" si="5"/>
        <v>15</v>
      </c>
      <c r="B29" s="8">
        <f t="shared" si="4"/>
        <v>15</v>
      </c>
      <c r="C29" s="71" t="str">
        <f>VLOOKUP($A29,Engine!$D:$H,2,FALSE)</f>
        <v>q</v>
      </c>
      <c r="D29" s="72">
        <f>VLOOKUP($A29,Engine!$D:$H,3,FALSE)</f>
        <v>1</v>
      </c>
      <c r="E29" s="8" t="str">
        <f>VLOOKUP($A29,Engine!$D:$H,5,FALSE)</f>
        <v>Micrider</v>
      </c>
      <c r="F29" s="73"/>
      <c r="G29" s="9">
        <f>L29-VLOOKUP($A29,Engine!$D:$S,15,FALSE)</f>
        <v>0</v>
      </c>
      <c r="H29" s="9">
        <f>N29-VLOOKUP($A29,Engine!$D:$S,16,FALSE)</f>
        <v>16</v>
      </c>
      <c r="I29" s="10"/>
      <c r="J29" s="9" t="str">
        <f>IF(VLOOKUP(E29,Engine!H:Q,10,FALSE)=0,"",VLOOKUP(E29,Engine!H:Q,10,FALSE))</f>
        <v>Roosters</v>
      </c>
      <c r="K29" s="74" t="str">
        <f t="shared" si="3"/>
        <v/>
      </c>
      <c r="L29" s="8">
        <f>VLOOKUP($A29,Engine!$D:$Z,22,FALSE)</f>
        <v>87</v>
      </c>
      <c r="M29" s="73"/>
      <c r="N29" s="8">
        <f>VLOOKUP($A29,Engine!$D:$Z,23,FALSE)</f>
        <v>3084</v>
      </c>
      <c r="O29" s="78"/>
    </row>
    <row r="30" spans="1:15" s="63" customFormat="1" x14ac:dyDescent="0.3">
      <c r="A30" s="70">
        <f t="shared" si="5"/>
        <v>16</v>
      </c>
      <c r="B30" s="8">
        <f t="shared" si="4"/>
        <v>16</v>
      </c>
      <c r="C30" s="71" t="str">
        <f>VLOOKUP($A30,Engine!$D:$H,2,FALSE)</f>
        <v>u</v>
      </c>
      <c r="D30" s="72" t="str">
        <f>VLOOKUP($A30,Engine!$D:$H,3,FALSE)</f>
        <v/>
      </c>
      <c r="E30" s="8" t="str">
        <f>VLOOKUP($A30,Engine!$D:$H,5,FALSE)</f>
        <v>BillyB</v>
      </c>
      <c r="F30" s="73"/>
      <c r="G30" s="9">
        <f>L30-VLOOKUP($A30,Engine!$D:$S,15,FALSE)</f>
        <v>1</v>
      </c>
      <c r="H30" s="9">
        <f>N30-VLOOKUP($A30,Engine!$D:$S,16,FALSE)</f>
        <v>32</v>
      </c>
      <c r="I30" s="10"/>
      <c r="J30" s="9" t="str">
        <f>IF(VLOOKUP(E30,Engine!H:Q,10,FALSE)=0,"",VLOOKUP(E30,Engine!H:Q,10,FALSE))</f>
        <v>Storm</v>
      </c>
      <c r="K30" s="74" t="str">
        <f t="shared" si="3"/>
        <v/>
      </c>
      <c r="L30" s="8">
        <f>VLOOKUP($A30,Engine!$D:$Z,22,FALSE)</f>
        <v>86</v>
      </c>
      <c r="M30" s="73"/>
      <c r="N30" s="8">
        <f>VLOOKUP($A30,Engine!$D:$Z,23,FALSE)</f>
        <v>3174</v>
      </c>
      <c r="O30" s="78"/>
    </row>
    <row r="31" spans="1:15" s="63" customFormat="1" x14ac:dyDescent="0.3">
      <c r="A31" s="70">
        <f t="shared" si="5"/>
        <v>17</v>
      </c>
      <c r="B31" s="8">
        <f t="shared" si="4"/>
        <v>17</v>
      </c>
      <c r="C31" s="71" t="str">
        <f>VLOOKUP($A31,Engine!$D:$H,2,FALSE)</f>
        <v>u</v>
      </c>
      <c r="D31" s="72" t="str">
        <f>VLOOKUP($A31,Engine!$D:$H,3,FALSE)</f>
        <v/>
      </c>
      <c r="E31" s="8" t="str">
        <f>VLOOKUP($A31,Engine!$D:$H,5,FALSE)</f>
        <v>Neville</v>
      </c>
      <c r="F31" s="73"/>
      <c r="G31" s="9">
        <f>L31-VLOOKUP($A31,Engine!$D:$S,15,FALSE)</f>
        <v>1</v>
      </c>
      <c r="H31" s="9">
        <f>N31-VLOOKUP($A31,Engine!$D:$S,16,FALSE)</f>
        <v>32</v>
      </c>
      <c r="I31" s="10"/>
      <c r="J31" s="9" t="str">
        <f>IF(VLOOKUP(E31,Engine!H:Q,10,FALSE)=0,"",VLOOKUP(E31,Engine!H:Q,10,FALSE))</f>
        <v>Storm</v>
      </c>
      <c r="K31" s="74" t="str">
        <f t="shared" si="3"/>
        <v/>
      </c>
      <c r="L31" s="8">
        <f>VLOOKUP($A31,Engine!$D:$Z,22,FALSE)</f>
        <v>86</v>
      </c>
      <c r="M31" s="73"/>
      <c r="N31" s="8">
        <f>VLOOKUP($A31,Engine!$D:$Z,23,FALSE)</f>
        <v>3138</v>
      </c>
      <c r="O31" s="78"/>
    </row>
    <row r="32" spans="1:15" s="63" customFormat="1" x14ac:dyDescent="0.3">
      <c r="A32" s="70">
        <f t="shared" si="5"/>
        <v>18</v>
      </c>
      <c r="B32" s="8">
        <f t="shared" si="4"/>
        <v>18</v>
      </c>
      <c r="C32" s="71" t="str">
        <f>VLOOKUP($A32,Engine!$D:$H,2,FALSE)</f>
        <v>u</v>
      </c>
      <c r="D32" s="72" t="str">
        <f>VLOOKUP($A32,Engine!$D:$H,3,FALSE)</f>
        <v/>
      </c>
      <c r="E32" s="8" t="str">
        <f>VLOOKUP($A32,Engine!$D:$H,5,FALSE)</f>
        <v>Lukebrooksbiggestfan</v>
      </c>
      <c r="F32" s="73"/>
      <c r="G32" s="9">
        <f>L32-VLOOKUP($A32,Engine!$D:$S,15,FALSE)</f>
        <v>1</v>
      </c>
      <c r="H32" s="9">
        <f>N32-VLOOKUP($A32,Engine!$D:$S,16,FALSE)</f>
        <v>32</v>
      </c>
      <c r="I32" s="10"/>
      <c r="J32" s="9" t="str">
        <f>IF(VLOOKUP(E32,Engine!H:Q,10,FALSE)=0,"",VLOOKUP(E32,Engine!H:Q,10,FALSE))</f>
        <v>Storm</v>
      </c>
      <c r="K32" s="74" t="str">
        <f t="shared" si="3"/>
        <v/>
      </c>
      <c r="L32" s="8">
        <f>VLOOKUP($A32,Engine!$D:$Z,22,FALSE)</f>
        <v>86</v>
      </c>
      <c r="M32" s="73"/>
      <c r="N32" s="8">
        <f>VLOOKUP($A32,Engine!$D:$Z,23,FALSE)</f>
        <v>3093</v>
      </c>
      <c r="O32" s="78"/>
    </row>
    <row r="33" spans="1:15" s="63" customFormat="1" x14ac:dyDescent="0.3">
      <c r="A33" s="70">
        <f t="shared" si="5"/>
        <v>19</v>
      </c>
      <c r="B33" s="8">
        <f t="shared" si="4"/>
        <v>19</v>
      </c>
      <c r="C33" s="71" t="str">
        <f>VLOOKUP($A33,Engine!$D:$H,2,FALSE)</f>
        <v>p</v>
      </c>
      <c r="D33" s="72">
        <f>VLOOKUP($A33,Engine!$D:$H,3,FALSE)</f>
        <v>1</v>
      </c>
      <c r="E33" s="8" t="str">
        <f>VLOOKUP($A33,Engine!$D:$H,5,FALSE)</f>
        <v>T-Bone</v>
      </c>
      <c r="F33" s="73"/>
      <c r="G33" s="9">
        <f>L33-VLOOKUP($A33,Engine!$D:$S,15,FALSE)</f>
        <v>0</v>
      </c>
      <c r="H33" s="9">
        <f>N33-VLOOKUP($A33,Engine!$D:$S,16,FALSE)</f>
        <v>16</v>
      </c>
      <c r="I33" s="10"/>
      <c r="J33" s="9" t="str">
        <f>IF(VLOOKUP(E33,Engine!H:Q,10,FALSE)=0,"",VLOOKUP(E33,Engine!H:Q,10,FALSE))</f>
        <v>Roosters</v>
      </c>
      <c r="K33" s="74" t="str">
        <f t="shared" si="3"/>
        <v/>
      </c>
      <c r="L33" s="8">
        <f>VLOOKUP($A33,Engine!$D:$Z,22,FALSE)</f>
        <v>84</v>
      </c>
      <c r="M33" s="73"/>
      <c r="N33" s="8">
        <f>VLOOKUP($A33,Engine!$D:$Z,23,FALSE)</f>
        <v>3136</v>
      </c>
      <c r="O33" s="78"/>
    </row>
    <row r="34" spans="1:15" s="63" customFormat="1" x14ac:dyDescent="0.3">
      <c r="A34" s="70">
        <f t="shared" si="5"/>
        <v>20</v>
      </c>
      <c r="B34" s="8">
        <f t="shared" si="4"/>
        <v>20</v>
      </c>
      <c r="C34" s="71" t="str">
        <f>VLOOKUP($A34,Engine!$D:$H,2,FALSE)</f>
        <v>p</v>
      </c>
      <c r="D34" s="72">
        <f>VLOOKUP($A34,Engine!$D:$H,3,FALSE)</f>
        <v>3</v>
      </c>
      <c r="E34" s="8" t="str">
        <f>VLOOKUP($A34,Engine!$D:$H,5,FALSE)</f>
        <v>Big Baba</v>
      </c>
      <c r="F34" s="73"/>
      <c r="G34" s="9">
        <f>L34-VLOOKUP($A34,Engine!$D:$S,15,FALSE)</f>
        <v>1</v>
      </c>
      <c r="H34" s="9">
        <f>N34-VLOOKUP($A34,Engine!$D:$S,16,FALSE)</f>
        <v>32</v>
      </c>
      <c r="I34" s="10"/>
      <c r="J34" s="9" t="str">
        <f>IF(VLOOKUP(E34,Engine!H:Q,10,FALSE)=0,"",VLOOKUP(E34,Engine!H:Q,10,FALSE))</f>
        <v>Roosters</v>
      </c>
      <c r="K34" s="74" t="str">
        <f t="shared" si="3"/>
        <v/>
      </c>
      <c r="L34" s="8">
        <f>VLOOKUP($A34,Engine!$D:$Z,22,FALSE)</f>
        <v>84</v>
      </c>
      <c r="M34" s="73"/>
      <c r="N34" s="8">
        <f>VLOOKUP($A34,Engine!$D:$Z,23,FALSE)</f>
        <v>3097</v>
      </c>
      <c r="O34" s="78"/>
    </row>
    <row r="35" spans="1:15" s="63" customFormat="1" x14ac:dyDescent="0.3">
      <c r="A35" s="70">
        <f t="shared" si="5"/>
        <v>21</v>
      </c>
      <c r="B35" s="8">
        <f t="shared" si="4"/>
        <v>21</v>
      </c>
      <c r="C35" s="71" t="str">
        <f>VLOOKUP($A35,Engine!$D:$H,2,FALSE)</f>
        <v>p</v>
      </c>
      <c r="D35" s="72">
        <f>VLOOKUP($A35,Engine!$D:$H,3,FALSE)</f>
        <v>3</v>
      </c>
      <c r="E35" s="8" t="str">
        <f>VLOOKUP($A35,Engine!$D:$H,5,FALSE)</f>
        <v>Big Moose</v>
      </c>
      <c r="F35" s="73"/>
      <c r="G35" s="9">
        <f>L35-VLOOKUP($A35,Engine!$D:$S,15,FALSE)</f>
        <v>1</v>
      </c>
      <c r="H35" s="9">
        <f>N35-VLOOKUP($A35,Engine!$D:$S,16,FALSE)</f>
        <v>32</v>
      </c>
      <c r="I35" s="10"/>
      <c r="J35" s="9" t="str">
        <f>IF(VLOOKUP(E35,Engine!H:Q,10,FALSE)=0,"",VLOOKUP(E35,Engine!H:Q,10,FALSE))</f>
        <v>Storm</v>
      </c>
      <c r="K35" s="74" t="str">
        <f t="shared" si="3"/>
        <v/>
      </c>
      <c r="L35" s="8">
        <f>VLOOKUP($A35,Engine!$D:$Z,22,FALSE)</f>
        <v>84</v>
      </c>
      <c r="M35" s="73"/>
      <c r="N35" s="8">
        <f>VLOOKUP($A35,Engine!$D:$Z,23,FALSE)</f>
        <v>3092</v>
      </c>
      <c r="O35" s="78"/>
    </row>
    <row r="36" spans="1:15" s="63" customFormat="1" x14ac:dyDescent="0.3">
      <c r="A36" s="70">
        <f t="shared" si="5"/>
        <v>22</v>
      </c>
      <c r="B36" s="8">
        <f t="shared" si="4"/>
        <v>22</v>
      </c>
      <c r="C36" s="71" t="str">
        <f>VLOOKUP($A36,Engine!$D:$H,2,FALSE)</f>
        <v>q</v>
      </c>
      <c r="D36" s="72">
        <f>VLOOKUP($A36,Engine!$D:$H,3,FALSE)</f>
        <v>1</v>
      </c>
      <c r="E36" s="8" t="str">
        <f>VLOOKUP($A36,Engine!$D:$H,5,FALSE)</f>
        <v>Splinter</v>
      </c>
      <c r="F36" s="73"/>
      <c r="G36" s="9">
        <f>L36-VLOOKUP($A36,Engine!$D:$S,15,FALSE)</f>
        <v>0</v>
      </c>
      <c r="H36" s="9">
        <f>N36-VLOOKUP($A36,Engine!$D:$S,16,FALSE)</f>
        <v>16</v>
      </c>
      <c r="I36" s="10"/>
      <c r="J36" s="9" t="str">
        <f>IF(VLOOKUP(E36,Engine!H:Q,10,FALSE)=0,"",VLOOKUP(E36,Engine!H:Q,10,FALSE))</f>
        <v>Storm</v>
      </c>
      <c r="K36" s="74" t="str">
        <f t="shared" si="3"/>
        <v/>
      </c>
      <c r="L36" s="8">
        <f>VLOOKUP($A36,Engine!$D:$Z,22,FALSE)</f>
        <v>83</v>
      </c>
      <c r="M36" s="73"/>
      <c r="N36" s="8">
        <f>VLOOKUP($A36,Engine!$D:$Z,23,FALSE)</f>
        <v>3181</v>
      </c>
      <c r="O36" s="78"/>
    </row>
    <row r="37" spans="1:15" s="63" customFormat="1" x14ac:dyDescent="0.3">
      <c r="A37" s="70">
        <f t="shared" si="5"/>
        <v>23</v>
      </c>
      <c r="B37" s="8">
        <f t="shared" si="4"/>
        <v>23</v>
      </c>
      <c r="C37" s="71" t="str">
        <f>VLOOKUP($A37,Engine!$D:$H,2,FALSE)</f>
        <v>q</v>
      </c>
      <c r="D37" s="72">
        <f>VLOOKUP($A37,Engine!$D:$H,3,FALSE)</f>
        <v>1</v>
      </c>
      <c r="E37" s="8" t="str">
        <f>VLOOKUP($A37,Engine!$D:$H,5,FALSE)</f>
        <v>blakey94</v>
      </c>
      <c r="F37" s="73"/>
      <c r="G37" s="9">
        <f>L37-VLOOKUP($A37,Engine!$D:$S,15,FALSE)</f>
        <v>0</v>
      </c>
      <c r="H37" s="9">
        <f>N37-VLOOKUP($A37,Engine!$D:$S,16,FALSE)</f>
        <v>16</v>
      </c>
      <c r="I37" s="10"/>
      <c r="J37" s="9" t="str">
        <f>IF(VLOOKUP(E37,Engine!H:Q,10,FALSE)=0,"",VLOOKUP(E37,Engine!H:Q,10,FALSE))</f>
        <v>Storm</v>
      </c>
      <c r="K37" s="74" t="str">
        <f t="shared" si="3"/>
        <v/>
      </c>
      <c r="L37" s="8">
        <f>VLOOKUP($A37,Engine!$D:$Z,22,FALSE)</f>
        <v>83</v>
      </c>
      <c r="M37" s="73"/>
      <c r="N37" s="8">
        <f>VLOOKUP($A37,Engine!$D:$Z,23,FALSE)</f>
        <v>3129</v>
      </c>
      <c r="O37" s="78"/>
    </row>
    <row r="38" spans="1:15" s="63" customFormat="1" x14ac:dyDescent="0.3">
      <c r="A38" s="70">
        <f t="shared" si="5"/>
        <v>24</v>
      </c>
      <c r="B38" s="8">
        <f t="shared" si="4"/>
        <v>24</v>
      </c>
      <c r="C38" s="71" t="str">
        <f>VLOOKUP($A38,Engine!$D:$H,2,FALSE)</f>
        <v>p</v>
      </c>
      <c r="D38" s="72">
        <f>VLOOKUP($A38,Engine!$D:$H,3,FALSE)</f>
        <v>1</v>
      </c>
      <c r="E38" s="8" t="str">
        <f>VLOOKUP($A38,Engine!$D:$H,5,FALSE)</f>
        <v>Adel Messih</v>
      </c>
      <c r="F38" s="73"/>
      <c r="G38" s="9">
        <f>L38-VLOOKUP($A38,Engine!$D:$S,15,FALSE)</f>
        <v>1</v>
      </c>
      <c r="H38" s="9">
        <f>N38-VLOOKUP($A38,Engine!$D:$S,16,FALSE)</f>
        <v>32</v>
      </c>
      <c r="I38" s="10"/>
      <c r="J38" s="9" t="str">
        <f>IF(VLOOKUP(E38,Engine!H:Q,10,FALSE)=0,"",VLOOKUP(E38,Engine!H:Q,10,FALSE))</f>
        <v>Storm</v>
      </c>
      <c r="K38" s="74" t="str">
        <f t="shared" si="3"/>
        <v/>
      </c>
      <c r="L38" s="8">
        <f>VLOOKUP($A38,Engine!$D:$Z,22,FALSE)</f>
        <v>82</v>
      </c>
      <c r="M38" s="73"/>
      <c r="N38" s="8">
        <f>VLOOKUP($A38,Engine!$D:$Z,23,FALSE)</f>
        <v>3187</v>
      </c>
      <c r="O38" s="78"/>
    </row>
    <row r="39" spans="1:15" s="63" customFormat="1" x14ac:dyDescent="0.3">
      <c r="A39" s="70">
        <f t="shared" si="5"/>
        <v>25</v>
      </c>
      <c r="B39" s="8">
        <f t="shared" si="4"/>
        <v>25</v>
      </c>
      <c r="C39" s="71" t="str">
        <f>VLOOKUP($A39,Engine!$D:$H,2,FALSE)</f>
        <v>p</v>
      </c>
      <c r="D39" s="72">
        <f>VLOOKUP($A39,Engine!$D:$H,3,FALSE)</f>
        <v>1</v>
      </c>
      <c r="E39" s="8" t="str">
        <f>VLOOKUP($A39,Engine!$D:$H,5,FALSE)</f>
        <v>Seano</v>
      </c>
      <c r="F39" s="73"/>
      <c r="G39" s="9">
        <f>L39-VLOOKUP($A39,Engine!$D:$S,15,FALSE)</f>
        <v>1</v>
      </c>
      <c r="H39" s="9">
        <f>N39-VLOOKUP($A39,Engine!$D:$S,16,FALSE)</f>
        <v>32</v>
      </c>
      <c r="I39" s="10"/>
      <c r="J39" s="9" t="str">
        <f>IF(VLOOKUP(E39,Engine!H:Q,10,FALSE)=0,"",VLOOKUP(E39,Engine!H:Q,10,FALSE))</f>
        <v>Storm</v>
      </c>
      <c r="K39" s="74" t="str">
        <f t="shared" si="3"/>
        <v/>
      </c>
      <c r="L39" s="8">
        <f>VLOOKUP($A39,Engine!$D:$Z,22,FALSE)</f>
        <v>82</v>
      </c>
      <c r="M39" s="73"/>
      <c r="N39" s="8">
        <f>VLOOKUP($A39,Engine!$D:$Z,23,FALSE)</f>
        <v>3144</v>
      </c>
      <c r="O39" s="78"/>
    </row>
    <row r="40" spans="1:15" s="63" customFormat="1" x14ac:dyDescent="0.3">
      <c r="A40" s="70">
        <f t="shared" si="5"/>
        <v>26</v>
      </c>
      <c r="B40" s="8">
        <f t="shared" si="4"/>
        <v>26</v>
      </c>
      <c r="C40" s="71" t="str">
        <f>VLOOKUP($A40,Engine!$D:$H,2,FALSE)</f>
        <v>q</v>
      </c>
      <c r="D40" s="72">
        <f>VLOOKUP($A40,Engine!$D:$H,3,FALSE)</f>
        <v>7</v>
      </c>
      <c r="E40" s="8" t="str">
        <f>VLOOKUP($A40,Engine!$D:$H,5,FALSE)</f>
        <v>Yackas</v>
      </c>
      <c r="F40" s="73"/>
      <c r="G40" s="9">
        <f>L40-VLOOKUP($A40,Engine!$D:$S,15,FALSE)</f>
        <v>-2</v>
      </c>
      <c r="H40" s="9">
        <f>N40-VLOOKUP($A40,Engine!$D:$S,16,FALSE)</f>
        <v>16</v>
      </c>
      <c r="I40" s="10"/>
      <c r="J40" s="9" t="str">
        <f>IF(VLOOKUP(E40,Engine!H:Q,10,FALSE)=0,"",VLOOKUP(E40,Engine!H:Q,10,FALSE))</f>
        <v>No Tips</v>
      </c>
      <c r="K40" s="74" t="str">
        <f t="shared" si="3"/>
        <v/>
      </c>
      <c r="L40" s="8">
        <f>VLOOKUP($A40,Engine!$D:$Z,22,FALSE)</f>
        <v>82</v>
      </c>
      <c r="M40" s="73"/>
      <c r="N40" s="8">
        <f>VLOOKUP($A40,Engine!$D:$Z,23,FALSE)</f>
        <v>3144</v>
      </c>
      <c r="O40" s="78"/>
    </row>
    <row r="41" spans="1:15" s="63" customFormat="1" x14ac:dyDescent="0.3">
      <c r="A41" s="70">
        <f t="shared" si="5"/>
        <v>27</v>
      </c>
      <c r="B41" s="8">
        <f t="shared" si="4"/>
        <v>27</v>
      </c>
      <c r="C41" s="71" t="str">
        <f>VLOOKUP($A41,Engine!$D:$H,2,FALSE)</f>
        <v>u</v>
      </c>
      <c r="D41" s="72" t="str">
        <f>VLOOKUP($A41,Engine!$D:$H,3,FALSE)</f>
        <v/>
      </c>
      <c r="E41" s="8" t="str">
        <f>VLOOKUP($A41,Engine!$D:$H,5,FALSE)</f>
        <v>Craig Young's Love Child</v>
      </c>
      <c r="F41" s="73"/>
      <c r="G41" s="9">
        <f>L41-VLOOKUP($A41,Engine!$D:$S,15,FALSE)</f>
        <v>1</v>
      </c>
      <c r="H41" s="9">
        <f>N41-VLOOKUP($A41,Engine!$D:$S,16,FALSE)</f>
        <v>32</v>
      </c>
      <c r="I41" s="10"/>
      <c r="J41" s="9" t="str">
        <f>IF(VLOOKUP(E41,Engine!H:Q,10,FALSE)=0,"",VLOOKUP(E41,Engine!H:Q,10,FALSE))</f>
        <v>Storm</v>
      </c>
      <c r="K41" s="74" t="str">
        <f t="shared" si="3"/>
        <v/>
      </c>
      <c r="L41" s="8">
        <f>VLOOKUP($A41,Engine!$D:$Z,22,FALSE)</f>
        <v>82</v>
      </c>
      <c r="M41" s="73"/>
      <c r="N41" s="8">
        <f>VLOOKUP($A41,Engine!$D:$Z,23,FALSE)</f>
        <v>3010</v>
      </c>
      <c r="O41" s="78"/>
    </row>
    <row r="42" spans="1:15" s="63" customFormat="1" x14ac:dyDescent="0.3">
      <c r="A42" s="70">
        <f t="shared" si="5"/>
        <v>28</v>
      </c>
      <c r="B42" s="8">
        <f t="shared" si="4"/>
        <v>28</v>
      </c>
      <c r="C42" s="71" t="str">
        <f>VLOOKUP($A42,Engine!$D:$H,2,FALSE)</f>
        <v>u</v>
      </c>
      <c r="D42" s="72" t="str">
        <f>VLOOKUP($A42,Engine!$D:$H,3,FALSE)</f>
        <v/>
      </c>
      <c r="E42" s="8" t="str">
        <f>VLOOKUP($A42,Engine!$D:$H,5,FALSE)</f>
        <v>iTerry</v>
      </c>
      <c r="F42" s="73"/>
      <c r="G42" s="9">
        <f>L42-VLOOKUP($A42,Engine!$D:$S,15,FALSE)</f>
        <v>1</v>
      </c>
      <c r="H42" s="9">
        <f>N42-VLOOKUP($A42,Engine!$D:$S,16,FALSE)</f>
        <v>32</v>
      </c>
      <c r="I42" s="10"/>
      <c r="J42" s="9" t="str">
        <f>IF(VLOOKUP(E42,Engine!H:Q,10,FALSE)=0,"",VLOOKUP(E42,Engine!H:Q,10,FALSE))</f>
        <v>Storm</v>
      </c>
      <c r="K42" s="74" t="str">
        <f t="shared" si="3"/>
        <v/>
      </c>
      <c r="L42" s="8">
        <f>VLOOKUP($A42,Engine!$D:$Z,22,FALSE)</f>
        <v>81</v>
      </c>
      <c r="M42" s="73"/>
      <c r="N42" s="8">
        <f>VLOOKUP($A42,Engine!$D:$Z,23,FALSE)</f>
        <v>3171</v>
      </c>
      <c r="O42" s="78"/>
    </row>
    <row r="43" spans="1:15" s="63" customFormat="1" x14ac:dyDescent="0.3">
      <c r="A43" s="70">
        <f t="shared" si="5"/>
        <v>29</v>
      </c>
      <c r="B43" s="8">
        <f t="shared" si="4"/>
        <v>29</v>
      </c>
      <c r="C43" s="71" t="str">
        <f>VLOOKUP($A43,Engine!$D:$H,2,FALSE)</f>
        <v>u</v>
      </c>
      <c r="D43" s="72" t="str">
        <f>VLOOKUP($A43,Engine!$D:$H,3,FALSE)</f>
        <v/>
      </c>
      <c r="E43" s="8" t="str">
        <f>VLOOKUP($A43,Engine!$D:$H,5,FALSE)</f>
        <v>MR. TAYLOR</v>
      </c>
      <c r="F43" s="73"/>
      <c r="G43" s="9">
        <f>L43-VLOOKUP($A43,Engine!$D:$S,15,FALSE)</f>
        <v>1</v>
      </c>
      <c r="H43" s="9">
        <f>N43-VLOOKUP($A43,Engine!$D:$S,16,FALSE)</f>
        <v>32</v>
      </c>
      <c r="I43" s="10"/>
      <c r="J43" s="9" t="str">
        <f>IF(VLOOKUP(E43,Engine!H:Q,10,FALSE)=0,"",VLOOKUP(E43,Engine!H:Q,10,FALSE))</f>
        <v>Roosters</v>
      </c>
      <c r="K43" s="74" t="str">
        <f t="shared" si="3"/>
        <v/>
      </c>
      <c r="L43" s="8">
        <f>VLOOKUP($A43,Engine!$D:$Z,22,FALSE)</f>
        <v>81</v>
      </c>
      <c r="M43" s="73"/>
      <c r="N43" s="8">
        <f>VLOOKUP($A43,Engine!$D:$Z,23,FALSE)</f>
        <v>3107</v>
      </c>
      <c r="O43" s="78"/>
    </row>
    <row r="44" spans="1:15" s="63" customFormat="1" x14ac:dyDescent="0.3">
      <c r="A44" s="70">
        <f t="shared" si="5"/>
        <v>30</v>
      </c>
      <c r="B44" s="8">
        <f t="shared" si="4"/>
        <v>30</v>
      </c>
      <c r="C44" s="71" t="str">
        <f>VLOOKUP($A44,Engine!$D:$H,2,FALSE)</f>
        <v>u</v>
      </c>
      <c r="D44" s="72" t="str">
        <f>VLOOKUP($A44,Engine!$D:$H,3,FALSE)</f>
        <v/>
      </c>
      <c r="E44" s="8" t="str">
        <f>VLOOKUP($A44,Engine!$D:$H,5,FALSE)</f>
        <v>Runner</v>
      </c>
      <c r="F44" s="73"/>
      <c r="G44" s="9">
        <f>L44-VLOOKUP($A44,Engine!$D:$S,15,FALSE)</f>
        <v>1</v>
      </c>
      <c r="H44" s="9">
        <f>N44-VLOOKUP($A44,Engine!$D:$S,16,FALSE)</f>
        <v>32</v>
      </c>
      <c r="I44" s="10"/>
      <c r="J44" s="9" t="str">
        <f>IF(VLOOKUP(E44,Engine!H:Q,10,FALSE)=0,"",VLOOKUP(E44,Engine!H:Q,10,FALSE))</f>
        <v>Sharks</v>
      </c>
      <c r="K44" s="74" t="str">
        <f t="shared" si="3"/>
        <v/>
      </c>
      <c r="L44" s="8">
        <f>VLOOKUP($A44,Engine!$D:$Z,22,FALSE)</f>
        <v>81</v>
      </c>
      <c r="M44" s="73"/>
      <c r="N44" s="8">
        <f>VLOOKUP($A44,Engine!$D:$Z,23,FALSE)</f>
        <v>3087</v>
      </c>
      <c r="O44" s="78"/>
    </row>
    <row r="45" spans="1:15" s="63" customFormat="1" x14ac:dyDescent="0.3">
      <c r="A45" s="70">
        <f t="shared" si="5"/>
        <v>31</v>
      </c>
      <c r="B45" s="8">
        <f t="shared" si="4"/>
        <v>31</v>
      </c>
      <c r="C45" s="71" t="str">
        <f>VLOOKUP($A45,Engine!$D:$H,2,FALSE)</f>
        <v>u</v>
      </c>
      <c r="D45" s="72" t="str">
        <f>VLOOKUP($A45,Engine!$D:$H,3,FALSE)</f>
        <v/>
      </c>
      <c r="E45" s="8" t="str">
        <f>VLOOKUP($A45,Engine!$D:$H,5,FALSE)</f>
        <v>gdadisho</v>
      </c>
      <c r="F45" s="73"/>
      <c r="G45" s="9">
        <f>L45-VLOOKUP($A45,Engine!$D:$S,15,FALSE)</f>
        <v>1</v>
      </c>
      <c r="H45" s="9">
        <f>N45-VLOOKUP($A45,Engine!$D:$S,16,FALSE)</f>
        <v>32</v>
      </c>
      <c r="I45" s="10"/>
      <c r="J45" s="9" t="str">
        <f>IF(VLOOKUP(E45,Engine!H:Q,10,FALSE)=0,"",VLOOKUP(E45,Engine!H:Q,10,FALSE))</f>
        <v>Cowboys</v>
      </c>
      <c r="K45" s="74" t="str">
        <f t="shared" si="3"/>
        <v/>
      </c>
      <c r="L45" s="8">
        <f>VLOOKUP($A45,Engine!$D:$Z,22,FALSE)</f>
        <v>81</v>
      </c>
      <c r="M45" s="73"/>
      <c r="N45" s="8">
        <f>VLOOKUP($A45,Engine!$D:$Z,23,FALSE)</f>
        <v>3014</v>
      </c>
      <c r="O45" s="78"/>
    </row>
    <row r="46" spans="1:15" s="63" customFormat="1" x14ac:dyDescent="0.3">
      <c r="A46" s="70">
        <f t="shared" si="5"/>
        <v>32</v>
      </c>
      <c r="B46" s="8">
        <f t="shared" si="4"/>
        <v>32</v>
      </c>
      <c r="C46" s="71" t="str">
        <f>VLOOKUP($A46,Engine!$D:$H,2,FALSE)</f>
        <v>u</v>
      </c>
      <c r="D46" s="72" t="str">
        <f>VLOOKUP($A46,Engine!$D:$H,3,FALSE)</f>
        <v/>
      </c>
      <c r="E46" s="8" t="str">
        <f>VLOOKUP($A46,Engine!$D:$H,5,FALSE)</f>
        <v>Guru2810</v>
      </c>
      <c r="F46" s="73"/>
      <c r="G46" s="9">
        <f>L46-VLOOKUP($A46,Engine!$D:$S,15,FALSE)</f>
        <v>1</v>
      </c>
      <c r="H46" s="9">
        <f>N46-VLOOKUP($A46,Engine!$D:$S,16,FALSE)</f>
        <v>32</v>
      </c>
      <c r="I46" s="10"/>
      <c r="J46" s="9" t="str">
        <f>IF(VLOOKUP(E46,Engine!H:Q,10,FALSE)=0,"",VLOOKUP(E46,Engine!H:Q,10,FALSE))</f>
        <v>Storm</v>
      </c>
      <c r="K46" s="74" t="str">
        <f t="shared" si="3"/>
        <v/>
      </c>
      <c r="L46" s="8">
        <f>VLOOKUP($A46,Engine!$D:$Z,22,FALSE)</f>
        <v>80</v>
      </c>
      <c r="M46" s="73"/>
      <c r="N46" s="8">
        <f>VLOOKUP($A46,Engine!$D:$Z,23,FALSE)</f>
        <v>3068</v>
      </c>
      <c r="O46" s="78"/>
    </row>
    <row r="47" spans="1:15" s="63" customFormat="1" x14ac:dyDescent="0.3">
      <c r="A47" s="70">
        <f t="shared" si="5"/>
        <v>33</v>
      </c>
      <c r="B47" s="8">
        <f t="shared" ref="B47:B72" si="6">A47</f>
        <v>33</v>
      </c>
      <c r="C47" s="71" t="str">
        <f>VLOOKUP($A47,Engine!$D:$H,2,FALSE)</f>
        <v>u</v>
      </c>
      <c r="D47" s="72" t="str">
        <f>VLOOKUP($A47,Engine!$D:$H,3,FALSE)</f>
        <v/>
      </c>
      <c r="E47" s="8" t="str">
        <f>VLOOKUP($A47,Engine!$D:$H,5,FALSE)</f>
        <v>Matt Brownie</v>
      </c>
      <c r="F47" s="73"/>
      <c r="G47" s="9">
        <f>L47-VLOOKUP($A47,Engine!$D:$S,15,FALSE)</f>
        <v>1</v>
      </c>
      <c r="H47" s="9">
        <f>N47-VLOOKUP($A47,Engine!$D:$S,16,FALSE)</f>
        <v>32</v>
      </c>
      <c r="I47" s="10"/>
      <c r="J47" s="9" t="str">
        <f>IF(VLOOKUP(E47,Engine!H:Q,10,FALSE)=0,"",VLOOKUP(E47,Engine!H:Q,10,FALSE))</f>
        <v>Storm</v>
      </c>
      <c r="K47" s="74" t="str">
        <f t="shared" ref="K47:K72" si="7">IF(COUNTIF(P$4:P$11,J47)=1,R$6,IF(COUNTIF(Q$4:Q$11,J47)=1,R$7,""))</f>
        <v/>
      </c>
      <c r="L47" s="8">
        <f>VLOOKUP($A47,Engine!$D:$Z,22,FALSE)</f>
        <v>79</v>
      </c>
      <c r="M47" s="73"/>
      <c r="N47" s="8">
        <f>VLOOKUP($A47,Engine!$D:$Z,23,FALSE)</f>
        <v>3104</v>
      </c>
      <c r="O47" s="76"/>
    </row>
    <row r="48" spans="1:15" s="63" customFormat="1" x14ac:dyDescent="0.3">
      <c r="A48" s="70">
        <f t="shared" si="5"/>
        <v>34</v>
      </c>
      <c r="B48" s="8">
        <f t="shared" si="6"/>
        <v>34</v>
      </c>
      <c r="C48" s="71" t="str">
        <f>VLOOKUP($A48,Engine!$D:$H,2,FALSE)</f>
        <v>u</v>
      </c>
      <c r="D48" s="72" t="str">
        <f>VLOOKUP($A48,Engine!$D:$H,3,FALSE)</f>
        <v/>
      </c>
      <c r="E48" s="8" t="str">
        <f>VLOOKUP($A48,Engine!$D:$H,5,FALSE)</f>
        <v>Michael Wu</v>
      </c>
      <c r="F48" s="73"/>
      <c r="G48" s="9">
        <f>L48-VLOOKUP($A48,Engine!$D:$S,15,FALSE)</f>
        <v>1</v>
      </c>
      <c r="H48" s="9">
        <f>N48-VLOOKUP($A48,Engine!$D:$S,16,FALSE)</f>
        <v>32</v>
      </c>
      <c r="I48" s="10"/>
      <c r="J48" s="9" t="str">
        <f>IF(VLOOKUP(E48,Engine!H:Q,10,FALSE)=0,"",VLOOKUP(E48,Engine!H:Q,10,FALSE))</f>
        <v>Storm</v>
      </c>
      <c r="K48" s="74" t="str">
        <f t="shared" si="7"/>
        <v/>
      </c>
      <c r="L48" s="8">
        <f>VLOOKUP($A48,Engine!$D:$Z,22,FALSE)</f>
        <v>79</v>
      </c>
      <c r="M48" s="73"/>
      <c r="N48" s="8">
        <f>VLOOKUP($A48,Engine!$D:$Z,23,FALSE)</f>
        <v>3084</v>
      </c>
      <c r="O48" s="76"/>
    </row>
    <row r="49" spans="1:14" s="63" customFormat="1" x14ac:dyDescent="0.3">
      <c r="A49" s="70">
        <f t="shared" si="5"/>
        <v>35</v>
      </c>
      <c r="B49" s="8">
        <f t="shared" si="6"/>
        <v>35</v>
      </c>
      <c r="C49" s="71" t="str">
        <f>VLOOKUP($A49,Engine!$D:$H,2,FALSE)</f>
        <v>p</v>
      </c>
      <c r="D49" s="72">
        <f>VLOOKUP($A49,Engine!$D:$H,3,FALSE)</f>
        <v>1</v>
      </c>
      <c r="E49" s="8" t="str">
        <f>VLOOKUP($A49,Engine!$D:$H,5,FALSE)</f>
        <v>Wiley C</v>
      </c>
      <c r="F49" s="73"/>
      <c r="G49" s="9">
        <f>L49-VLOOKUP($A49,Engine!$D:$S,15,FALSE)</f>
        <v>1</v>
      </c>
      <c r="H49" s="9">
        <f>N49-VLOOKUP($A49,Engine!$D:$S,16,FALSE)</f>
        <v>32</v>
      </c>
      <c r="I49" s="10"/>
      <c r="J49" s="9" t="str">
        <f>IF(VLOOKUP(E49,Engine!H:Q,10,FALSE)=0,"",VLOOKUP(E49,Engine!H:Q,10,FALSE))</f>
        <v>Storm</v>
      </c>
      <c r="K49" s="74" t="str">
        <f t="shared" si="7"/>
        <v/>
      </c>
      <c r="L49" s="8">
        <f>VLOOKUP($A49,Engine!$D:$Z,22,FALSE)</f>
        <v>77</v>
      </c>
      <c r="M49" s="73"/>
      <c r="N49" s="8">
        <f>VLOOKUP($A49,Engine!$D:$Z,23,FALSE)</f>
        <v>3117</v>
      </c>
    </row>
    <row r="50" spans="1:14" s="63" customFormat="1" x14ac:dyDescent="0.3">
      <c r="A50" s="70">
        <f t="shared" si="5"/>
        <v>36</v>
      </c>
      <c r="B50" s="8">
        <f t="shared" si="6"/>
        <v>36</v>
      </c>
      <c r="C50" s="71" t="str">
        <f>VLOOKUP($A50,Engine!$D:$H,2,FALSE)</f>
        <v>p</v>
      </c>
      <c r="D50" s="72">
        <f>VLOOKUP($A50,Engine!$D:$H,3,FALSE)</f>
        <v>4</v>
      </c>
      <c r="E50" s="8" t="str">
        <f>VLOOKUP($A50,Engine!$D:$H,5,FALSE)</f>
        <v>Bridie</v>
      </c>
      <c r="F50" s="73"/>
      <c r="G50" s="9">
        <f>L50-VLOOKUP($A50,Engine!$D:$S,15,FALSE)</f>
        <v>1</v>
      </c>
      <c r="H50" s="9">
        <f>N50-VLOOKUP($A50,Engine!$D:$S,16,FALSE)</f>
        <v>32</v>
      </c>
      <c r="I50" s="10"/>
      <c r="J50" s="9" t="str">
        <f>IF(VLOOKUP(E50,Engine!H:Q,10,FALSE)=0,"",VLOOKUP(E50,Engine!H:Q,10,FALSE))</f>
        <v>Storm</v>
      </c>
      <c r="K50" s="74" t="str">
        <f t="shared" si="7"/>
        <v/>
      </c>
      <c r="L50" s="8">
        <f>VLOOKUP($A50,Engine!$D:$Z,22,FALSE)</f>
        <v>77</v>
      </c>
      <c r="M50" s="73"/>
      <c r="N50" s="8">
        <f>VLOOKUP($A50,Engine!$D:$Z,23,FALSE)</f>
        <v>2990</v>
      </c>
    </row>
    <row r="51" spans="1:14" s="63" customFormat="1" x14ac:dyDescent="0.3">
      <c r="A51" s="70">
        <f t="shared" si="5"/>
        <v>37</v>
      </c>
      <c r="B51" s="8">
        <f t="shared" si="6"/>
        <v>37</v>
      </c>
      <c r="C51" s="71" t="str">
        <f>VLOOKUP($A51,Engine!$D:$H,2,FALSE)</f>
        <v>p</v>
      </c>
      <c r="D51" s="72">
        <f>VLOOKUP($A51,Engine!$D:$H,3,FALSE)</f>
        <v>5</v>
      </c>
      <c r="E51" s="8" t="str">
        <f>VLOOKUP($A51,Engine!$D:$H,5,FALSE)</f>
        <v>9986</v>
      </c>
      <c r="F51" s="73"/>
      <c r="G51" s="9">
        <f>L51-VLOOKUP($A51,Engine!$D:$S,15,FALSE)</f>
        <v>1</v>
      </c>
      <c r="H51" s="9">
        <f>N51-VLOOKUP($A51,Engine!$D:$S,16,FALSE)</f>
        <v>32</v>
      </c>
      <c r="I51" s="10"/>
      <c r="J51" s="9" t="str">
        <f>IF(VLOOKUP(E51,Engine!H:Q,10,FALSE)=0,"",VLOOKUP(E51,Engine!H:Q,10,FALSE))</f>
        <v>Roosters</v>
      </c>
      <c r="K51" s="74" t="str">
        <f t="shared" si="7"/>
        <v/>
      </c>
      <c r="L51" s="8">
        <f>VLOOKUP($A51,Engine!$D:$Z,22,FALSE)</f>
        <v>76</v>
      </c>
      <c r="M51" s="73"/>
      <c r="N51" s="8">
        <f>VLOOKUP($A51,Engine!$D:$Z,23,FALSE)</f>
        <v>3129</v>
      </c>
    </row>
    <row r="52" spans="1:14" s="63" customFormat="1" x14ac:dyDescent="0.3">
      <c r="A52" s="70">
        <f t="shared" si="5"/>
        <v>38</v>
      </c>
      <c r="B52" s="8">
        <f t="shared" si="6"/>
        <v>38</v>
      </c>
      <c r="C52" s="71" t="str">
        <f>VLOOKUP($A52,Engine!$D:$H,2,FALSE)</f>
        <v>q</v>
      </c>
      <c r="D52" s="72">
        <f>VLOOKUP($A52,Engine!$D:$H,3,FALSE)</f>
        <v>1</v>
      </c>
      <c r="E52" s="8" t="str">
        <f>VLOOKUP($A52,Engine!$D:$H,5,FALSE)</f>
        <v>Krusty</v>
      </c>
      <c r="F52" s="73"/>
      <c r="G52" s="9">
        <f>L52-VLOOKUP($A52,Engine!$D:$S,15,FALSE)</f>
        <v>0</v>
      </c>
      <c r="H52" s="9">
        <f>N52-VLOOKUP($A52,Engine!$D:$S,16,FALSE)</f>
        <v>16</v>
      </c>
      <c r="I52" s="10"/>
      <c r="J52" s="9" t="str">
        <f>IF(VLOOKUP(E52,Engine!H:Q,10,FALSE)=0,"",VLOOKUP(E52,Engine!H:Q,10,FALSE))</f>
        <v>Storm</v>
      </c>
      <c r="K52" s="74" t="str">
        <f t="shared" si="7"/>
        <v/>
      </c>
      <c r="L52" s="8">
        <f>VLOOKUP($A52,Engine!$D:$Z,22,FALSE)</f>
        <v>76</v>
      </c>
      <c r="M52" s="73"/>
      <c r="N52" s="8">
        <f>VLOOKUP($A52,Engine!$D:$Z,23,FALSE)</f>
        <v>3007</v>
      </c>
    </row>
    <row r="53" spans="1:14" s="63" customFormat="1" x14ac:dyDescent="0.3">
      <c r="A53" s="70">
        <f t="shared" si="5"/>
        <v>39</v>
      </c>
      <c r="B53" s="8">
        <f t="shared" si="6"/>
        <v>39</v>
      </c>
      <c r="C53" s="71" t="str">
        <f>VLOOKUP($A53,Engine!$D:$H,2,FALSE)</f>
        <v>q</v>
      </c>
      <c r="D53" s="72">
        <f>VLOOKUP($A53,Engine!$D:$H,3,FALSE)</f>
        <v>1</v>
      </c>
      <c r="E53" s="8" t="str">
        <f>VLOOKUP($A53,Engine!$D:$H,5,FALSE)</f>
        <v>MJP181</v>
      </c>
      <c r="F53" s="73"/>
      <c r="G53" s="9">
        <f>L53-VLOOKUP($A53,Engine!$D:$S,15,FALSE)</f>
        <v>0</v>
      </c>
      <c r="H53" s="9">
        <f>N53-VLOOKUP($A53,Engine!$D:$S,16,FALSE)</f>
        <v>16</v>
      </c>
      <c r="I53" s="10"/>
      <c r="J53" s="9" t="str">
        <f>IF(VLOOKUP(E53,Engine!H:Q,10,FALSE)=0,"",VLOOKUP(E53,Engine!H:Q,10,FALSE))</f>
        <v>Storm</v>
      </c>
      <c r="K53" s="74" t="str">
        <f t="shared" si="7"/>
        <v/>
      </c>
      <c r="L53" s="8">
        <f>VLOOKUP($A53,Engine!$D:$Z,22,FALSE)</f>
        <v>76</v>
      </c>
      <c r="M53" s="73"/>
      <c r="N53" s="8">
        <f>VLOOKUP($A53,Engine!$D:$Z,23,FALSE)</f>
        <v>2999</v>
      </c>
    </row>
    <row r="54" spans="1:14" x14ac:dyDescent="0.3">
      <c r="A54" s="70">
        <f t="shared" si="5"/>
        <v>40</v>
      </c>
      <c r="B54" s="8">
        <f t="shared" si="6"/>
        <v>40</v>
      </c>
      <c r="C54" s="71" t="str">
        <f>VLOOKUP($A54,Engine!$D:$H,2,FALSE)</f>
        <v>q</v>
      </c>
      <c r="D54" s="72">
        <f>VLOOKUP($A54,Engine!$D:$H,3,FALSE)</f>
        <v>1</v>
      </c>
      <c r="E54" s="8" t="str">
        <f>VLOOKUP($A54,Engine!$D:$H,5,FALSE)</f>
        <v>Lou</v>
      </c>
      <c r="F54" s="73"/>
      <c r="G54" s="9">
        <f>L54-VLOOKUP($A54,Engine!$D:$S,15,FALSE)</f>
        <v>0</v>
      </c>
      <c r="H54" s="9">
        <f>N54-VLOOKUP($A54,Engine!$D:$S,16,FALSE)</f>
        <v>16</v>
      </c>
      <c r="I54" s="10"/>
      <c r="J54" s="9" t="str">
        <f>IF(VLOOKUP(E54,Engine!H:Q,10,FALSE)=0,"",VLOOKUP(E54,Engine!H:Q,10,FALSE))</f>
        <v>Storm</v>
      </c>
      <c r="K54" s="74" t="str">
        <f t="shared" si="7"/>
        <v/>
      </c>
      <c r="L54" s="8">
        <f>VLOOKUP($A54,Engine!$D:$Z,22,FALSE)</f>
        <v>76</v>
      </c>
      <c r="M54" s="73"/>
      <c r="N54" s="8">
        <f>VLOOKUP($A54,Engine!$D:$Z,23,FALSE)</f>
        <v>2993</v>
      </c>
    </row>
    <row r="55" spans="1:14" x14ac:dyDescent="0.3">
      <c r="A55" s="70">
        <f t="shared" si="5"/>
        <v>41</v>
      </c>
      <c r="B55" s="8">
        <f t="shared" si="6"/>
        <v>41</v>
      </c>
      <c r="C55" s="71" t="str">
        <f>VLOOKUP($A55,Engine!$D:$H,2,FALSE)</f>
        <v>u</v>
      </c>
      <c r="D55" s="72" t="str">
        <f>VLOOKUP($A55,Engine!$D:$H,3,FALSE)</f>
        <v/>
      </c>
      <c r="E55" s="8" t="str">
        <f>VLOOKUP($A55,Engine!$D:$H,5,FALSE)</f>
        <v>Pablo</v>
      </c>
      <c r="F55" s="73"/>
      <c r="G55" s="9">
        <f>L55-VLOOKUP($A55,Engine!$D:$S,15,FALSE)</f>
        <v>0</v>
      </c>
      <c r="H55" s="9">
        <f>N55-VLOOKUP($A55,Engine!$D:$S,16,FALSE)</f>
        <v>16</v>
      </c>
      <c r="I55" s="10"/>
      <c r="J55" s="9" t="str">
        <f>IF(VLOOKUP(E55,Engine!H:Q,10,FALSE)=0,"",VLOOKUP(E55,Engine!H:Q,10,FALSE))</f>
        <v>Sharks</v>
      </c>
      <c r="K55" s="74" t="str">
        <f t="shared" si="7"/>
        <v/>
      </c>
      <c r="L55" s="8">
        <f>VLOOKUP($A55,Engine!$D:$Z,22,FALSE)</f>
        <v>76</v>
      </c>
      <c r="M55" s="73"/>
      <c r="N55" s="8">
        <f>VLOOKUP($A55,Engine!$D:$Z,23,FALSE)</f>
        <v>2932</v>
      </c>
    </row>
    <row r="56" spans="1:14" x14ac:dyDescent="0.3">
      <c r="A56" s="70">
        <f t="shared" si="5"/>
        <v>42</v>
      </c>
      <c r="B56" s="8">
        <f t="shared" si="6"/>
        <v>42</v>
      </c>
      <c r="C56" s="71" t="str">
        <f>VLOOKUP($A56,Engine!$D:$H,2,FALSE)</f>
        <v>p</v>
      </c>
      <c r="D56" s="72">
        <f>VLOOKUP($A56,Engine!$D:$H,3,FALSE)</f>
        <v>1</v>
      </c>
      <c r="E56" s="8" t="str">
        <f>VLOOKUP($A56,Engine!$D:$H,5,FALSE)</f>
        <v>PabloW</v>
      </c>
      <c r="F56" s="73"/>
      <c r="G56" s="9">
        <f>L56-VLOOKUP($A56,Engine!$D:$S,15,FALSE)</f>
        <v>0</v>
      </c>
      <c r="H56" s="9">
        <f>N56-VLOOKUP($A56,Engine!$D:$S,16,FALSE)</f>
        <v>16</v>
      </c>
      <c r="I56" s="10"/>
      <c r="J56" s="9" t="str">
        <f>IF(VLOOKUP(E56,Engine!H:Q,10,FALSE)=0,"",VLOOKUP(E56,Engine!H:Q,10,FALSE))</f>
        <v>Roosters</v>
      </c>
      <c r="K56" s="74" t="str">
        <f t="shared" si="7"/>
        <v/>
      </c>
      <c r="L56" s="8">
        <f>VLOOKUP($A56,Engine!$D:$Z,22,FALSE)</f>
        <v>75</v>
      </c>
      <c r="M56" s="73"/>
      <c r="N56" s="8">
        <f>VLOOKUP($A56,Engine!$D:$Z,23,FALSE)</f>
        <v>3110</v>
      </c>
    </row>
    <row r="57" spans="1:14" x14ac:dyDescent="0.3">
      <c r="A57" s="70">
        <f t="shared" si="5"/>
        <v>43</v>
      </c>
      <c r="B57" s="8">
        <f t="shared" si="6"/>
        <v>43</v>
      </c>
      <c r="C57" s="71" t="str">
        <f>VLOOKUP($A57,Engine!$D:$H,2,FALSE)</f>
        <v>q</v>
      </c>
      <c r="D57" s="72">
        <f>VLOOKUP($A57,Engine!$D:$H,3,FALSE)</f>
        <v>8</v>
      </c>
      <c r="E57" s="8" t="str">
        <f>VLOOKUP($A57,Engine!$D:$H,5,FALSE)</f>
        <v>MLC</v>
      </c>
      <c r="F57" s="73"/>
      <c r="G57" s="9">
        <f>L57-VLOOKUP($A57,Engine!$D:$S,15,FALSE)</f>
        <v>-2</v>
      </c>
      <c r="H57" s="9">
        <f>N57-VLOOKUP($A57,Engine!$D:$S,16,FALSE)</f>
        <v>16</v>
      </c>
      <c r="I57" s="10"/>
      <c r="J57" s="9" t="str">
        <f>IF(VLOOKUP(E57,Engine!H:Q,10,FALSE)=0,"",VLOOKUP(E57,Engine!H:Q,10,FALSE))</f>
        <v>Eels</v>
      </c>
      <c r="K57" s="74" t="str">
        <f t="shared" si="7"/>
        <v>û</v>
      </c>
      <c r="L57" s="8">
        <f>VLOOKUP($A57,Engine!$D:$Z,22,FALSE)</f>
        <v>75</v>
      </c>
      <c r="M57" s="73"/>
      <c r="N57" s="8">
        <f>VLOOKUP($A57,Engine!$D:$Z,23,FALSE)</f>
        <v>2971</v>
      </c>
    </row>
    <row r="58" spans="1:14" x14ac:dyDescent="0.3">
      <c r="A58" s="70">
        <f t="shared" si="5"/>
        <v>44</v>
      </c>
      <c r="B58" s="8">
        <f t="shared" si="6"/>
        <v>44</v>
      </c>
      <c r="C58" s="71" t="str">
        <f>VLOOKUP($A58,Engine!$D:$H,2,FALSE)</f>
        <v>p</v>
      </c>
      <c r="D58" s="72">
        <f>VLOOKUP($A58,Engine!$D:$H,3,FALSE)</f>
        <v>1</v>
      </c>
      <c r="E58" s="8" t="str">
        <f>VLOOKUP($A58,Engine!$D:$H,5,FALSE)</f>
        <v>Robert Cook</v>
      </c>
      <c r="F58" s="73"/>
      <c r="G58" s="9">
        <f>L58-VLOOKUP($A58,Engine!$D:$S,15,FALSE)</f>
        <v>1</v>
      </c>
      <c r="H58" s="9">
        <f>N58-VLOOKUP($A58,Engine!$D:$S,16,FALSE)</f>
        <v>32</v>
      </c>
      <c r="I58" s="10"/>
      <c r="J58" s="9" t="str">
        <f>IF(VLOOKUP(E58,Engine!H:Q,10,FALSE)=0,"",VLOOKUP(E58,Engine!H:Q,10,FALSE))</f>
        <v>Storm</v>
      </c>
      <c r="K58" s="74" t="str">
        <f t="shared" si="7"/>
        <v/>
      </c>
      <c r="L58" s="8">
        <f>VLOOKUP($A58,Engine!$D:$Z,22,FALSE)</f>
        <v>74</v>
      </c>
      <c r="M58" s="73"/>
      <c r="N58" s="8">
        <f>VLOOKUP($A58,Engine!$D:$Z,23,FALSE)</f>
        <v>2992</v>
      </c>
    </row>
    <row r="59" spans="1:14" x14ac:dyDescent="0.3">
      <c r="A59" s="70">
        <f t="shared" si="5"/>
        <v>45</v>
      </c>
      <c r="B59" s="8">
        <f t="shared" si="6"/>
        <v>45</v>
      </c>
      <c r="C59" s="71" t="str">
        <f>VLOOKUP($A59,Engine!$D:$H,2,FALSE)</f>
        <v>q</v>
      </c>
      <c r="D59" s="72">
        <f>VLOOKUP($A59,Engine!$D:$H,3,FALSE)</f>
        <v>1</v>
      </c>
      <c r="E59" s="8" t="str">
        <f>VLOOKUP($A59,Engine!$D:$H,5,FALSE)</f>
        <v>***Footy Tipper***</v>
      </c>
      <c r="F59" s="73"/>
      <c r="G59" s="9">
        <f>L59-VLOOKUP($A59,Engine!$D:$S,15,FALSE)</f>
        <v>0</v>
      </c>
      <c r="H59" s="9">
        <f>N59-VLOOKUP($A59,Engine!$D:$S,16,FALSE)</f>
        <v>16</v>
      </c>
      <c r="I59" s="10"/>
      <c r="J59" s="9" t="str">
        <f>IF(VLOOKUP(E59,Engine!H:Q,10,FALSE)=0,"",VLOOKUP(E59,Engine!H:Q,10,FALSE))</f>
        <v>Storm</v>
      </c>
      <c r="K59" s="74" t="str">
        <f t="shared" si="7"/>
        <v/>
      </c>
      <c r="L59" s="8">
        <f>VLOOKUP($A59,Engine!$D:$Z,22,FALSE)</f>
        <v>74</v>
      </c>
      <c r="M59" s="73"/>
      <c r="N59" s="8">
        <f>VLOOKUP($A59,Engine!$D:$Z,23,FALSE)</f>
        <v>2930</v>
      </c>
    </row>
    <row r="60" spans="1:14" x14ac:dyDescent="0.3">
      <c r="A60" s="70">
        <f t="shared" si="5"/>
        <v>46</v>
      </c>
      <c r="B60" s="8">
        <f t="shared" si="6"/>
        <v>46</v>
      </c>
      <c r="C60" s="71" t="str">
        <f>VLOOKUP($A60,Engine!$D:$H,2,FALSE)</f>
        <v>u</v>
      </c>
      <c r="D60" s="72" t="str">
        <f>VLOOKUP($A60,Engine!$D:$H,3,FALSE)</f>
        <v/>
      </c>
      <c r="E60" s="8" t="str">
        <f>VLOOKUP($A60,Engine!$D:$H,5,FALSE)</f>
        <v>Fouad Khochaiche</v>
      </c>
      <c r="F60" s="73"/>
      <c r="G60" s="9">
        <f>L60-VLOOKUP($A60,Engine!$D:$S,15,FALSE)</f>
        <v>1</v>
      </c>
      <c r="H60" s="9">
        <f>N60-VLOOKUP($A60,Engine!$D:$S,16,FALSE)</f>
        <v>32</v>
      </c>
      <c r="I60" s="10"/>
      <c r="J60" s="9" t="str">
        <f>IF(VLOOKUP(E60,Engine!H:Q,10,FALSE)=0,"",VLOOKUP(E60,Engine!H:Q,10,FALSE))</f>
        <v>Storm</v>
      </c>
      <c r="K60" s="74" t="str">
        <f t="shared" si="7"/>
        <v/>
      </c>
      <c r="L60" s="8">
        <f>VLOOKUP($A60,Engine!$D:$Z,22,FALSE)</f>
        <v>73</v>
      </c>
      <c r="M60" s="73"/>
      <c r="N60" s="8">
        <f>VLOOKUP($A60,Engine!$D:$Z,23,FALSE)</f>
        <v>3057</v>
      </c>
    </row>
    <row r="61" spans="1:14" x14ac:dyDescent="0.3">
      <c r="A61" s="70">
        <f t="shared" si="5"/>
        <v>47</v>
      </c>
      <c r="B61" s="8">
        <f t="shared" si="6"/>
        <v>47</v>
      </c>
      <c r="C61" s="71" t="str">
        <f>VLOOKUP($A61,Engine!$D:$H,2,FALSE)</f>
        <v>u</v>
      </c>
      <c r="D61" s="72" t="str">
        <f>VLOOKUP($A61,Engine!$D:$H,3,FALSE)</f>
        <v/>
      </c>
      <c r="E61" s="8" t="str">
        <f>VLOOKUP($A61,Engine!$D:$H,5,FALSE)</f>
        <v>MB</v>
      </c>
      <c r="F61" s="73"/>
      <c r="G61" s="9">
        <f>L61-VLOOKUP($A61,Engine!$D:$S,15,FALSE)</f>
        <v>1</v>
      </c>
      <c r="H61" s="9">
        <f>N61-VLOOKUP($A61,Engine!$D:$S,16,FALSE)</f>
        <v>32</v>
      </c>
      <c r="I61" s="10"/>
      <c r="J61" s="9" t="str">
        <f>IF(VLOOKUP(E61,Engine!H:Q,10,FALSE)=0,"",VLOOKUP(E61,Engine!H:Q,10,FALSE))</f>
        <v>Storm</v>
      </c>
      <c r="K61" s="74" t="str">
        <f t="shared" si="7"/>
        <v/>
      </c>
      <c r="L61" s="8">
        <f>VLOOKUP($A61,Engine!$D:$Z,22,FALSE)</f>
        <v>72</v>
      </c>
      <c r="M61" s="73"/>
      <c r="N61" s="8">
        <f>VLOOKUP($A61,Engine!$D:$Z,23,FALSE)</f>
        <v>3094</v>
      </c>
    </row>
    <row r="62" spans="1:14" x14ac:dyDescent="0.3">
      <c r="A62" s="70">
        <f t="shared" si="5"/>
        <v>48</v>
      </c>
      <c r="B62" s="8">
        <f t="shared" si="6"/>
        <v>48</v>
      </c>
      <c r="C62" s="71" t="str">
        <f>VLOOKUP($A62,Engine!$D:$H,2,FALSE)</f>
        <v>u</v>
      </c>
      <c r="D62" s="72" t="str">
        <f>VLOOKUP($A62,Engine!$D:$H,3,FALSE)</f>
        <v/>
      </c>
      <c r="E62" s="8" t="str">
        <f>VLOOKUP($A62,Engine!$D:$H,5,FALSE)</f>
        <v>Stallion</v>
      </c>
      <c r="F62" s="73"/>
      <c r="G62" s="9">
        <f>L62-VLOOKUP($A62,Engine!$D:$S,15,FALSE)</f>
        <v>1</v>
      </c>
      <c r="H62" s="9">
        <f>N62-VLOOKUP($A62,Engine!$D:$S,16,FALSE)</f>
        <v>32</v>
      </c>
      <c r="I62" s="10"/>
      <c r="J62" s="9" t="str">
        <f>IF(VLOOKUP(E62,Engine!H:Q,10,FALSE)=0,"",VLOOKUP(E62,Engine!H:Q,10,FALSE))</f>
        <v>Storm</v>
      </c>
      <c r="K62" s="74" t="str">
        <f t="shared" si="7"/>
        <v/>
      </c>
      <c r="L62" s="8">
        <f>VLOOKUP($A62,Engine!$D:$Z,22,FALSE)</f>
        <v>72</v>
      </c>
      <c r="M62" s="73"/>
      <c r="N62" s="8">
        <f>VLOOKUP($A62,Engine!$D:$Z,23,FALSE)</f>
        <v>2948</v>
      </c>
    </row>
    <row r="63" spans="1:14" x14ac:dyDescent="0.3">
      <c r="A63" s="70">
        <f t="shared" si="5"/>
        <v>49</v>
      </c>
      <c r="B63" s="8">
        <f t="shared" si="6"/>
        <v>49</v>
      </c>
      <c r="C63" s="71" t="str">
        <f>VLOOKUP($A63,Engine!$D:$H,2,FALSE)</f>
        <v>u</v>
      </c>
      <c r="D63" s="72" t="str">
        <f>VLOOKUP($A63,Engine!$D:$H,3,FALSE)</f>
        <v/>
      </c>
      <c r="E63" s="8" t="str">
        <f>VLOOKUP($A63,Engine!$D:$H,5,FALSE)</f>
        <v>Shagger</v>
      </c>
      <c r="F63" s="73"/>
      <c r="G63" s="9">
        <f>L63-VLOOKUP($A63,Engine!$D:$S,15,FALSE)</f>
        <v>1</v>
      </c>
      <c r="H63" s="9">
        <f>N63-VLOOKUP($A63,Engine!$D:$S,16,FALSE)</f>
        <v>32</v>
      </c>
      <c r="I63" s="10"/>
      <c r="J63" s="9" t="str">
        <f>IF(VLOOKUP(E63,Engine!H:Q,10,FALSE)=0,"",VLOOKUP(E63,Engine!H:Q,10,FALSE))</f>
        <v>Storm</v>
      </c>
      <c r="K63" s="74" t="str">
        <f t="shared" si="7"/>
        <v/>
      </c>
      <c r="L63" s="8">
        <f>VLOOKUP($A63,Engine!$D:$Z,22,FALSE)</f>
        <v>70</v>
      </c>
      <c r="M63" s="73"/>
      <c r="N63" s="8">
        <f>VLOOKUP($A63,Engine!$D:$Z,23,FALSE)</f>
        <v>2978</v>
      </c>
    </row>
    <row r="64" spans="1:14" x14ac:dyDescent="0.3">
      <c r="A64" s="70">
        <f t="shared" si="5"/>
        <v>50</v>
      </c>
      <c r="B64" s="8">
        <f t="shared" si="6"/>
        <v>50</v>
      </c>
      <c r="C64" s="71" t="str">
        <f>VLOOKUP($A64,Engine!$D:$H,2,FALSE)</f>
        <v>u</v>
      </c>
      <c r="D64" s="72" t="str">
        <f>VLOOKUP($A64,Engine!$D:$H,3,FALSE)</f>
        <v/>
      </c>
      <c r="E64" s="8" t="str">
        <f>VLOOKUP($A64,Engine!$D:$H,5,FALSE)</f>
        <v>Chunka</v>
      </c>
      <c r="F64" s="73"/>
      <c r="G64" s="9">
        <f>L64-VLOOKUP($A64,Engine!$D:$S,15,FALSE)</f>
        <v>1</v>
      </c>
      <c r="H64" s="9">
        <f>N64-VLOOKUP($A64,Engine!$D:$S,16,FALSE)</f>
        <v>32</v>
      </c>
      <c r="I64" s="10"/>
      <c r="J64" s="9" t="str">
        <f>IF(VLOOKUP(E64,Engine!H:Q,10,FALSE)=0,"",VLOOKUP(E64,Engine!H:Q,10,FALSE))</f>
        <v>Storm</v>
      </c>
      <c r="K64" s="74" t="str">
        <f t="shared" si="7"/>
        <v/>
      </c>
      <c r="L64" s="8">
        <f>VLOOKUP($A64,Engine!$D:$Z,22,FALSE)</f>
        <v>69</v>
      </c>
      <c r="M64" s="73"/>
      <c r="N64" s="8">
        <f>VLOOKUP($A64,Engine!$D:$Z,23,FALSE)</f>
        <v>2960</v>
      </c>
    </row>
    <row r="65" spans="1:14" x14ac:dyDescent="0.3">
      <c r="A65" s="70">
        <f t="shared" si="5"/>
        <v>51</v>
      </c>
      <c r="B65" s="8">
        <f t="shared" si="6"/>
        <v>51</v>
      </c>
      <c r="C65" s="71" t="str">
        <f>VLOOKUP($A65,Engine!$D:$H,2,FALSE)</f>
        <v>u</v>
      </c>
      <c r="D65" s="72" t="str">
        <f>VLOOKUP($A65,Engine!$D:$H,3,FALSE)</f>
        <v/>
      </c>
      <c r="E65" s="8" t="str">
        <f>VLOOKUP($A65,Engine!$D:$H,5,FALSE)</f>
        <v>Timbo</v>
      </c>
      <c r="F65" s="73"/>
      <c r="G65" s="9">
        <f>L65-VLOOKUP($A65,Engine!$D:$S,15,FALSE)</f>
        <v>0</v>
      </c>
      <c r="H65" s="9">
        <f>N65-VLOOKUP($A65,Engine!$D:$S,16,FALSE)</f>
        <v>16</v>
      </c>
      <c r="I65" s="10"/>
      <c r="J65" s="9" t="str">
        <f>IF(VLOOKUP(E65,Engine!H:Q,10,FALSE)=0,"",VLOOKUP(E65,Engine!H:Q,10,FALSE))</f>
        <v>Roosters</v>
      </c>
      <c r="K65" s="74" t="str">
        <f t="shared" si="7"/>
        <v/>
      </c>
      <c r="L65" s="8">
        <f>VLOOKUP($A65,Engine!$D:$Z,22,FALSE)</f>
        <v>67</v>
      </c>
      <c r="M65" s="73"/>
      <c r="N65" s="8">
        <f>VLOOKUP($A65,Engine!$D:$Z,23,FALSE)</f>
        <v>3004</v>
      </c>
    </row>
    <row r="66" spans="1:14" x14ac:dyDescent="0.3">
      <c r="A66" s="70">
        <f t="shared" si="5"/>
        <v>52</v>
      </c>
      <c r="B66" s="8">
        <f t="shared" si="6"/>
        <v>52</v>
      </c>
      <c r="C66" s="71" t="str">
        <f>VLOOKUP($A66,Engine!$D:$H,2,FALSE)</f>
        <v>p</v>
      </c>
      <c r="D66" s="72">
        <f>VLOOKUP($A66,Engine!$D:$H,3,FALSE)</f>
        <v>1</v>
      </c>
      <c r="E66" s="8" t="str">
        <f>VLOOKUP($A66,Engine!$D:$H,5,FALSE)</f>
        <v>Cruella</v>
      </c>
      <c r="F66" s="73"/>
      <c r="G66" s="9">
        <f>L66-VLOOKUP($A66,Engine!$D:$S,15,FALSE)</f>
        <v>1</v>
      </c>
      <c r="H66" s="9">
        <f>N66-VLOOKUP($A66,Engine!$D:$S,16,FALSE)</f>
        <v>32</v>
      </c>
      <c r="I66" s="10"/>
      <c r="J66" s="9" t="str">
        <f>IF(VLOOKUP(E66,Engine!H:Q,10,FALSE)=0,"",VLOOKUP(E66,Engine!H:Q,10,FALSE))</f>
        <v>Bulldogs</v>
      </c>
      <c r="K66" s="74" t="str">
        <f t="shared" si="7"/>
        <v/>
      </c>
      <c r="L66" s="8">
        <f>VLOOKUP($A66,Engine!$D:$Z,22,FALSE)</f>
        <v>66</v>
      </c>
      <c r="M66" s="73"/>
      <c r="N66" s="8">
        <f>VLOOKUP($A66,Engine!$D:$Z,23,FALSE)</f>
        <v>3108</v>
      </c>
    </row>
    <row r="67" spans="1:14" x14ac:dyDescent="0.3">
      <c r="A67" s="70">
        <f t="shared" si="5"/>
        <v>53</v>
      </c>
      <c r="B67" s="8">
        <f t="shared" si="6"/>
        <v>53</v>
      </c>
      <c r="C67" s="71" t="str">
        <f>VLOOKUP($A67,Engine!$D:$H,2,FALSE)</f>
        <v>q</v>
      </c>
      <c r="D67" s="72">
        <f>VLOOKUP($A67,Engine!$D:$H,3,FALSE)</f>
        <v>1</v>
      </c>
      <c r="E67" s="8" t="str">
        <f>VLOOKUP($A67,Engine!$D:$H,5,FALSE)</f>
        <v>TheZipZipMan</v>
      </c>
      <c r="F67" s="73"/>
      <c r="G67" s="9">
        <f>L67-VLOOKUP($A67,Engine!$D:$S,15,FALSE)</f>
        <v>0</v>
      </c>
      <c r="H67" s="9">
        <f>N67-VLOOKUP($A67,Engine!$D:$S,16,FALSE)</f>
        <v>16</v>
      </c>
      <c r="I67" s="10"/>
      <c r="J67" s="9" t="str">
        <f>IF(VLOOKUP(E67,Engine!H:Q,10,FALSE)=0,"",VLOOKUP(E67,Engine!H:Q,10,FALSE))</f>
        <v>Storm</v>
      </c>
      <c r="K67" s="74" t="str">
        <f t="shared" si="7"/>
        <v/>
      </c>
      <c r="L67" s="8">
        <f>VLOOKUP($A67,Engine!$D:$Z,22,FALSE)</f>
        <v>66</v>
      </c>
      <c r="M67" s="73"/>
      <c r="N67" s="8">
        <f>VLOOKUP($A67,Engine!$D:$Z,23,FALSE)</f>
        <v>3015</v>
      </c>
    </row>
    <row r="68" spans="1:14" x14ac:dyDescent="0.3">
      <c r="A68" s="70">
        <f t="shared" si="5"/>
        <v>54</v>
      </c>
      <c r="B68" s="8">
        <f t="shared" si="6"/>
        <v>54</v>
      </c>
      <c r="C68" s="71" t="str">
        <f>VLOOKUP($A68,Engine!$D:$H,2,FALSE)</f>
        <v>p</v>
      </c>
      <c r="D68" s="72">
        <f>VLOOKUP($A68,Engine!$D:$H,3,FALSE)</f>
        <v>1</v>
      </c>
      <c r="E68" s="8" t="str">
        <f>VLOOKUP($A68,Engine!$D:$H,5,FALSE)</f>
        <v>Westy</v>
      </c>
      <c r="F68" s="73"/>
      <c r="G68" s="9">
        <f>L68-VLOOKUP($A68,Engine!$D:$S,15,FALSE)</f>
        <v>1</v>
      </c>
      <c r="H68" s="9">
        <f>N68-VLOOKUP($A68,Engine!$D:$S,16,FALSE)</f>
        <v>32</v>
      </c>
      <c r="I68" s="10"/>
      <c r="J68" s="9" t="str">
        <f>IF(VLOOKUP(E68,Engine!H:Q,10,FALSE)=0,"",VLOOKUP(E68,Engine!H:Q,10,FALSE))</f>
        <v>Storm</v>
      </c>
      <c r="K68" s="74" t="str">
        <f t="shared" si="7"/>
        <v/>
      </c>
      <c r="L68" s="8">
        <f>VLOOKUP($A68,Engine!$D:$Z,22,FALSE)</f>
        <v>63</v>
      </c>
      <c r="M68" s="73"/>
      <c r="N68" s="8">
        <f>VLOOKUP($A68,Engine!$D:$Z,23,FALSE)</f>
        <v>2873</v>
      </c>
    </row>
    <row r="69" spans="1:14" x14ac:dyDescent="0.3">
      <c r="A69" s="70">
        <f t="shared" si="5"/>
        <v>55</v>
      </c>
      <c r="B69" s="8">
        <f t="shared" si="6"/>
        <v>55</v>
      </c>
      <c r="C69" s="71" t="str">
        <f>VLOOKUP($A69,Engine!$D:$H,2,FALSE)</f>
        <v>q</v>
      </c>
      <c r="D69" s="72">
        <f>VLOOKUP($A69,Engine!$D:$H,3,FALSE)</f>
        <v>1</v>
      </c>
      <c r="E69" s="8" t="str">
        <f>VLOOKUP($A69,Engine!$D:$H,5,FALSE)</f>
        <v>Fishy88</v>
      </c>
      <c r="F69" s="73"/>
      <c r="G69" s="9">
        <f>L69-VLOOKUP($A69,Engine!$D:$S,15,FALSE)</f>
        <v>-2</v>
      </c>
      <c r="H69" s="9">
        <f>N69-VLOOKUP($A69,Engine!$D:$S,16,FALSE)</f>
        <v>16</v>
      </c>
      <c r="I69" s="10"/>
      <c r="J69" s="9" t="str">
        <f>IF(VLOOKUP(E69,Engine!H:Q,10,FALSE)=0,"",VLOOKUP(E69,Engine!H:Q,10,FALSE))</f>
        <v>No Tips</v>
      </c>
      <c r="K69" s="74" t="str">
        <f t="shared" si="7"/>
        <v/>
      </c>
      <c r="L69" s="8">
        <f>VLOOKUP($A69,Engine!$D:$Z,22,FALSE)</f>
        <v>61</v>
      </c>
      <c r="M69" s="73"/>
      <c r="N69" s="8">
        <f>VLOOKUP($A69,Engine!$D:$Z,23,FALSE)</f>
        <v>2849</v>
      </c>
    </row>
    <row r="70" spans="1:14" x14ac:dyDescent="0.3">
      <c r="A70" s="70">
        <f t="shared" si="5"/>
        <v>56</v>
      </c>
      <c r="B70" s="8">
        <f t="shared" si="6"/>
        <v>56</v>
      </c>
      <c r="C70" s="71" t="str">
        <f>VLOOKUP($A70,Engine!$D:$H,2,FALSE)</f>
        <v>u</v>
      </c>
      <c r="D70" s="72" t="str">
        <f>VLOOKUP($A70,Engine!$D:$H,3,FALSE)</f>
        <v/>
      </c>
      <c r="E70" s="8" t="str">
        <f>VLOOKUP($A70,Engine!$D:$H,5,FALSE)</f>
        <v>Corey Malumae Temata</v>
      </c>
      <c r="F70" s="73"/>
      <c r="G70" s="9">
        <f>L70-VLOOKUP($A70,Engine!$D:$S,15,FALSE)</f>
        <v>0</v>
      </c>
      <c r="H70" s="9">
        <f>N70-VLOOKUP($A70,Engine!$D:$S,16,FALSE)</f>
        <v>16</v>
      </c>
      <c r="I70" s="10"/>
      <c r="J70" s="9" t="str">
        <f>IF(VLOOKUP(E70,Engine!H:Q,10,FALSE)=0,"",VLOOKUP(E70,Engine!H:Q,10,FALSE))</f>
        <v>Cowboys</v>
      </c>
      <c r="K70" s="74" t="str">
        <f t="shared" si="7"/>
        <v/>
      </c>
      <c r="L70" s="8">
        <f>VLOOKUP($A70,Engine!$D:$Z,22,FALSE)</f>
        <v>59</v>
      </c>
      <c r="M70" s="73"/>
      <c r="N70" s="8">
        <f>VLOOKUP($A70,Engine!$D:$Z,23,FALSE)</f>
        <v>2943</v>
      </c>
    </row>
    <row r="71" spans="1:14" x14ac:dyDescent="0.3">
      <c r="A71" s="70">
        <f t="shared" si="5"/>
        <v>57</v>
      </c>
      <c r="B71" s="8">
        <f t="shared" si="6"/>
        <v>57</v>
      </c>
      <c r="C71" s="71" t="str">
        <f>VLOOKUP($A71,Engine!$D:$H,2,FALSE)</f>
        <v>u</v>
      </c>
      <c r="D71" s="72" t="str">
        <f>VLOOKUP($A71,Engine!$D:$H,3,FALSE)</f>
        <v/>
      </c>
      <c r="E71" s="8" t="str">
        <f>VLOOKUP($A71,Engine!$D:$H,5,FALSE)</f>
        <v>isha68</v>
      </c>
      <c r="F71" s="73"/>
      <c r="G71" s="9">
        <f>L71-VLOOKUP($A71,Engine!$D:$S,15,FALSE)</f>
        <v>3</v>
      </c>
      <c r="H71" s="9">
        <f>N71-VLOOKUP($A71,Engine!$D:$S,16,FALSE)</f>
        <v>32</v>
      </c>
      <c r="I71" s="10"/>
      <c r="J71" s="9" t="str">
        <f>IF(VLOOKUP(E71,Engine!H:Q,10,FALSE)=0,"",VLOOKUP(E71,Engine!H:Q,10,FALSE))</f>
        <v>Rabbitohs</v>
      </c>
      <c r="K71" s="74" t="str">
        <f t="shared" si="7"/>
        <v>ü</v>
      </c>
      <c r="L71" s="8">
        <f>VLOOKUP($A71,Engine!$D:$Z,22,FALSE)</f>
        <v>51</v>
      </c>
      <c r="M71" s="73"/>
      <c r="N71" s="8">
        <f>VLOOKUP($A71,Engine!$D:$Z,23,FALSE)</f>
        <v>2768</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16</v>
      </c>
      <c r="I72" s="10"/>
      <c r="J72" s="9" t="str">
        <f>IF(VLOOKUP(E72,Engine!H:Q,10,FALSE)=0,"",VLOOKUP(E72,Engine!H:Q,10,FALSE))</f>
        <v>No Tips</v>
      </c>
      <c r="K72" s="74" t="str">
        <f t="shared" si="7"/>
        <v/>
      </c>
      <c r="L72" s="8">
        <f>VLOOKUP($A72,Engine!$D:$Z,22,FALSE)</f>
        <v>16</v>
      </c>
      <c r="M72" s="73"/>
      <c r="N72" s="8">
        <f>VLOOKUP($A72,Engine!$D:$Z,23,FALSE)</f>
        <v>2572</v>
      </c>
    </row>
  </sheetData>
  <sheetProtection algorithmName="SHA-512" hashValue="L9Yt1NBiu12mWSAppWigqicbgAW2Ajf83WxNETf41D2vD73gAUXPvMN+BiUFYe5s4gC0TXRB7IdpGTCURqgCqQ==" saltValue="HfI61TTPi5oN4hpOlAZ6V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42</v>
      </c>
      <c r="C2" s="113">
        <f>IF(H2="ZZZZZZ Suspend","",R2+(S2/100000)+(G2/1000000000))</f>
        <v>75.030970092999993</v>
      </c>
      <c r="D2">
        <f t="shared" ref="D2:D33" si="1">IF(H2="ZZZZZZ Suspend","",RANK(AA2,AA:AA))</f>
        <v>37</v>
      </c>
      <c r="E2" s="3" t="str">
        <f>IF(H2="ZZZZZZ Suspend","",IF(D2&lt;B2,AD$3,IF(D2&gt;B2,AD$4,AD$5)))</f>
        <v>p</v>
      </c>
      <c r="F2">
        <f t="shared" ref="F2" si="2">IF(H2="ZZZZZZ Suspend","",IF(D2&gt;B2,D2-B2,IF(D2&lt;B2,B2-D2,"")))</f>
        <v>5</v>
      </c>
      <c r="G2">
        <v>93</v>
      </c>
      <c r="H2" t="str">
        <f>Data!A3</f>
        <v>9986</v>
      </c>
      <c r="I2" s="2" t="str">
        <f>Data!C3</f>
        <v>Rabbitohs</v>
      </c>
      <c r="J2" s="2" t="str">
        <f>Data!D3</f>
        <v>Sharks</v>
      </c>
      <c r="K2" s="2" t="str">
        <f>Data!E3</f>
        <v>Panthers</v>
      </c>
      <c r="L2" s="2" t="str">
        <f>IF(Data!$S$3&lt;Engine!L$1,0,Data!F3)</f>
        <v>Bulldogs</v>
      </c>
      <c r="M2" s="2" t="str">
        <f>IF(Data!$S$3&lt;Engine!M$1,0,Data!G3)</f>
        <v>Storm</v>
      </c>
      <c r="N2" s="2" t="str">
        <f>IF(Data!$S$3&lt;Engine!N$1,0,Data!H3)</f>
        <v>Cowboys</v>
      </c>
      <c r="O2" s="2" t="str">
        <f>IF(Data!$S$3&lt;Engine!O$1,0,Data!I3)</f>
        <v>Roosters</v>
      </c>
      <c r="P2" s="2" t="str">
        <f>IF(Data!$S$3&lt;Engine!P$1,0,Data!J3)</f>
        <v>Knights</v>
      </c>
      <c r="Q2" s="12" t="str">
        <f>IF(Data!B3=1,Data!K3,"No Tips")</f>
        <v>Roosters</v>
      </c>
      <c r="R2" s="2">
        <f>Data!L3</f>
        <v>75</v>
      </c>
      <c r="S2" s="2">
        <f>Data!M3</f>
        <v>3097</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32</v>
      </c>
      <c r="Y2">
        <f t="shared" ref="Y2:Y15" si="4">IF(H2="ZZZZZZ Suspend","",R2+W2)</f>
        <v>76</v>
      </c>
      <c r="Z2">
        <f t="shared" ref="Z2" si="5">IF(H2="ZZZZZZ Suspend","",S2+X2)</f>
        <v>3129</v>
      </c>
      <c r="AA2" s="113">
        <f>IF(H2="ZZZZZZ Suspend","",Y2+(Z2/100000)+(G2/1000000000))</f>
        <v>76.031290092999996</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32</v>
      </c>
      <c r="AD2">
        <f>MIN(AB:AB)</f>
        <v>-2</v>
      </c>
      <c r="AE2">
        <f>MIN(AC:AC)</f>
        <v>16</v>
      </c>
      <c r="AF2">
        <f>IF(I2="","",IF(Q2="",0,IF(AND(Q2&gt;0,COUNTIF('Stats Calculator'!$T$24:$AA$24,Q2)=1),HLOOKUP(Q2,'Stats Calculator'!$T$24:$AA$27,4,FALSE),IF(AND(Q2&gt;0,COUNTIF('Stats Calculator'!$T$25:$AA$25,Q2)=1),HLOOKUP(Q2,'Stats Calculator'!$T$25:$AA$27,3,FALSE)))))</f>
        <v>7</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25</v>
      </c>
      <c r="C3" s="113">
        <f t="shared" ref="C3:C66" si="8">IF(H3="ZZZZZZ Suspend","",R3+(S3/100000)+(G3/1000000000))</f>
        <v>81.031550091999989</v>
      </c>
      <c r="D3">
        <f t="shared" si="1"/>
        <v>24</v>
      </c>
      <c r="E3" s="3" t="str">
        <f t="shared" ref="E3:E66" si="9">IF(H3="ZZZZZZ Suspend","",IF(D3&lt;B3,AD$3,IF(D3&gt;B3,AD$4,AD$5)))</f>
        <v>p</v>
      </c>
      <c r="F3">
        <f t="shared" ref="F3:F66" si="10">IF(H3="ZZZZZZ Suspend","",IF(D3&gt;B3,D3-B3,IF(D3&lt;B3,B3-D3,"")))</f>
        <v>1</v>
      </c>
      <c r="G3">
        <v>92</v>
      </c>
      <c r="H3" t="str">
        <f>Data!A4</f>
        <v>Adel Messih</v>
      </c>
      <c r="I3" s="2" t="str">
        <f>Data!C4</f>
        <v>Rabbitohs</v>
      </c>
      <c r="J3" s="2" t="str">
        <f>Data!D4</f>
        <v>Titans</v>
      </c>
      <c r="K3" s="2" t="str">
        <f>Data!E4</f>
        <v>Panthers</v>
      </c>
      <c r="L3" s="2" t="str">
        <f>IF(Data!$S$3&lt;Engine!L$1,0,Data!F4)</f>
        <v>Bulldogs</v>
      </c>
      <c r="M3" s="2" t="str">
        <f>IF(Data!$S$3&lt;Engine!M$1,0,Data!G4)</f>
        <v>Storm</v>
      </c>
      <c r="N3" s="2" t="str">
        <f>IF(Data!$S$3&lt;Engine!N$1,0,Data!H4)</f>
        <v>Sea Eagles</v>
      </c>
      <c r="O3" s="2" t="str">
        <f>IF(Data!$S$3&lt;Engine!O$1,0,Data!I4)</f>
        <v>Roosters</v>
      </c>
      <c r="P3" s="2" t="str">
        <f>IF(Data!$S$3&lt;Engine!P$1,0,Data!J4)</f>
        <v>Knights</v>
      </c>
      <c r="Q3" s="12" t="str">
        <f>IF(Data!B4=1,Data!K4,"No Tips")</f>
        <v>Storm</v>
      </c>
      <c r="R3" s="2">
        <f>Data!L4</f>
        <v>81</v>
      </c>
      <c r="S3" s="2">
        <f>Data!M4</f>
        <v>3155</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32</v>
      </c>
      <c r="Y3">
        <f t="shared" si="4"/>
        <v>82</v>
      </c>
      <c r="Z3">
        <f t="shared" ref="Z3:Z66" si="12">IF(H3="ZZZZZZ Suspend","",S3+X3)</f>
        <v>3187</v>
      </c>
      <c r="AA3" s="113">
        <f t="shared" ref="AA3:AA66" si="13">IF(H3="ZZZZZZ Suspend","",Y3+(Z3/100000)+(G3/1000000000))</f>
        <v>82.031870091999991</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32</v>
      </c>
      <c r="AD3" s="3" t="s">
        <v>14</v>
      </c>
      <c r="AF3">
        <f>IF(I3="","",IF(Q3="",0,IF(AND(Q3&gt;0,COUNTIF('Stats Calculator'!$T$24:$AA$24,Q3)=1),HLOOKUP(Q3,'Stats Calculator'!$T$24:$AA$27,4,FALSE),IF(AND(Q3&gt;0,COUNTIF('Stats Calculator'!$T$25:$AA$25,Q3)=1),HLOOKUP(Q3,'Stats Calculator'!$T$25:$AA$27,3,FALSE)))))</f>
        <v>5</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12</v>
      </c>
      <c r="C4" s="113">
        <f t="shared" si="8"/>
        <v>87.031530091000008</v>
      </c>
      <c r="D4">
        <f t="shared" si="1"/>
        <v>8</v>
      </c>
      <c r="E4" s="3" t="str">
        <f t="shared" si="9"/>
        <v>p</v>
      </c>
      <c r="F4">
        <f t="shared" si="10"/>
        <v>4</v>
      </c>
      <c r="G4">
        <v>91</v>
      </c>
      <c r="H4" t="str">
        <f>Data!A5</f>
        <v>Admireel</v>
      </c>
      <c r="I4" s="2" t="str">
        <f>Data!C5</f>
        <v>Rabbitohs</v>
      </c>
      <c r="J4" s="2" t="str">
        <f>Data!D5</f>
        <v>Sharks</v>
      </c>
      <c r="K4" s="2" t="str">
        <f>Data!E5</f>
        <v>Panthers</v>
      </c>
      <c r="L4" s="2" t="str">
        <f>IF(Data!$S$3&lt;Engine!L$1,0,Data!F5)</f>
        <v>Warriors</v>
      </c>
      <c r="M4" s="2" t="str">
        <f>IF(Data!$S$3&lt;Engine!M$1,0,Data!G5)</f>
        <v>Storm</v>
      </c>
      <c r="N4" s="2" t="str">
        <f>IF(Data!$S$3&lt;Engine!N$1,0,Data!H5)</f>
        <v>Sea Eagles</v>
      </c>
      <c r="O4" s="2" t="str">
        <f>IF(Data!$S$3&lt;Engine!O$1,0,Data!I5)</f>
        <v>Roosters</v>
      </c>
      <c r="P4" s="2" t="str">
        <f>IF(Data!$S$3&lt;Engine!P$1,0,Data!J5)</f>
        <v>Raiders</v>
      </c>
      <c r="Q4" s="12" t="str">
        <f>IF(Data!B5=1,Data!K5,"No Tips")</f>
        <v>Rabbitohs</v>
      </c>
      <c r="R4" s="2">
        <f>Data!L5</f>
        <v>87</v>
      </c>
      <c r="S4" s="2">
        <f>Data!M5</f>
        <v>3153</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2</v>
      </c>
      <c r="V4" s="1">
        <f>IF(I4="","",IF(T4=Data!S$3,2,0))</f>
        <v>0</v>
      </c>
      <c r="W4" s="1">
        <f t="shared" si="11"/>
        <v>3</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32</v>
      </c>
      <c r="Y4">
        <f t="shared" si="4"/>
        <v>90</v>
      </c>
      <c r="Z4">
        <f t="shared" si="12"/>
        <v>3185</v>
      </c>
      <c r="AA4" s="113">
        <f t="shared" si="13"/>
        <v>90.03185009100001</v>
      </c>
      <c r="AB4">
        <f>IF(Q4="No Tips","",SUM(T4:V4))</f>
        <v>3</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32</v>
      </c>
      <c r="AD4" s="3"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2</v>
      </c>
      <c r="AL4">
        <f t="shared" si="14"/>
        <v>12</v>
      </c>
    </row>
    <row r="5" spans="1:38" x14ac:dyDescent="0.3">
      <c r="A5">
        <v>4</v>
      </c>
      <c r="B5">
        <f t="shared" si="0"/>
        <v>11</v>
      </c>
      <c r="C5" s="113">
        <f t="shared" si="8"/>
        <v>87.031640089999996</v>
      </c>
      <c r="D5">
        <f t="shared" si="1"/>
        <v>11</v>
      </c>
      <c r="E5" s="3" t="str">
        <f t="shared" si="9"/>
        <v>u</v>
      </c>
      <c r="F5" t="str">
        <f t="shared" si="10"/>
        <v/>
      </c>
      <c r="G5">
        <v>90</v>
      </c>
      <c r="H5" t="str">
        <f>Data!A6</f>
        <v>Bart Simpson</v>
      </c>
      <c r="I5" s="2" t="str">
        <f>Data!C6</f>
        <v>Rabbitohs</v>
      </c>
      <c r="J5" s="2" t="str">
        <f>Data!D6</f>
        <v>Sharks</v>
      </c>
      <c r="K5" s="2" t="str">
        <f>Data!E6</f>
        <v>Panthers</v>
      </c>
      <c r="L5" s="2" t="str">
        <f>IF(Data!$S$3&lt;Engine!L$1,0,Data!F6)</f>
        <v>Bulldogs</v>
      </c>
      <c r="M5" s="2" t="str">
        <f>IF(Data!$S$3&lt;Engine!M$1,0,Data!G6)</f>
        <v>Storm</v>
      </c>
      <c r="N5" s="2" t="str">
        <f>IF(Data!$S$3&lt;Engine!N$1,0,Data!H6)</f>
        <v>Sea Eagles</v>
      </c>
      <c r="O5" s="2" t="str">
        <f>IF(Data!$S$3&lt;Engine!O$1,0,Data!I6)</f>
        <v>Roosters</v>
      </c>
      <c r="P5" s="2" t="str">
        <f>IF(Data!$S$3&lt;Engine!P$1,0,Data!J6)</f>
        <v>Raiders</v>
      </c>
      <c r="Q5" s="12" t="str">
        <f>IF(Data!B6=1,Data!K6,"No Tips")</f>
        <v>Storm</v>
      </c>
      <c r="R5" s="2">
        <f>Data!L6</f>
        <v>87</v>
      </c>
      <c r="S5" s="2">
        <f>Data!M6</f>
        <v>3164</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32</v>
      </c>
      <c r="Y5">
        <f t="shared" si="4"/>
        <v>88</v>
      </c>
      <c r="Z5">
        <f t="shared" si="12"/>
        <v>3196</v>
      </c>
      <c r="AA5" s="113">
        <f t="shared" si="13"/>
        <v>88.031960089999998</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32</v>
      </c>
      <c r="AD5" s="3" t="s">
        <v>16</v>
      </c>
      <c r="AF5">
        <f>IF(I5="","",IF(Q5="",0,IF(AND(Q5&gt;0,COUNTIF('Stats Calculator'!$T$24:$AA$24,Q5)=1),HLOOKUP(Q5,'Stats Calculator'!$T$24:$AA$27,4,FALSE),IF(AND(Q5&gt;0,COUNTIF('Stats Calculator'!$T$25:$AA$25,Q5)=1),HLOOKUP(Q5,'Stats Calculator'!$T$25:$AA$27,3,FALSE)))))</f>
        <v>5</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23</v>
      </c>
      <c r="C6" s="113">
        <f t="shared" si="8"/>
        <v>83.030650088999991</v>
      </c>
      <c r="D6">
        <f t="shared" si="1"/>
        <v>20</v>
      </c>
      <c r="E6" s="3" t="str">
        <f t="shared" si="9"/>
        <v>p</v>
      </c>
      <c r="F6">
        <f t="shared" si="10"/>
        <v>3</v>
      </c>
      <c r="G6">
        <v>89</v>
      </c>
      <c r="H6" t="str">
        <f>Data!A7</f>
        <v>Big Baba</v>
      </c>
      <c r="I6" s="2" t="str">
        <f>Data!C7</f>
        <v>Rabbitohs</v>
      </c>
      <c r="J6" s="2" t="str">
        <f>Data!D7</f>
        <v>Sharks</v>
      </c>
      <c r="K6" s="2" t="str">
        <f>Data!E7</f>
        <v>Broncos</v>
      </c>
      <c r="L6" s="2" t="str">
        <f>IF(Data!$S$3&lt;Engine!L$1,0,Data!F7)</f>
        <v>Bulldogs</v>
      </c>
      <c r="M6" s="2" t="str">
        <f>IF(Data!$S$3&lt;Engine!M$1,0,Data!G7)</f>
        <v>Storm</v>
      </c>
      <c r="N6" s="2" t="str">
        <f>IF(Data!$S$3&lt;Engine!N$1,0,Data!H7)</f>
        <v>Cowboys</v>
      </c>
      <c r="O6" s="2" t="str">
        <f>IF(Data!$S$3&lt;Engine!O$1,0,Data!I7)</f>
        <v>Roosters</v>
      </c>
      <c r="P6" s="2" t="str">
        <f>IF(Data!$S$3&lt;Engine!P$1,0,Data!J7)</f>
        <v>Knights</v>
      </c>
      <c r="Q6" s="12" t="str">
        <f>IF(Data!B7=1,Data!K7,"No Tips")</f>
        <v>Roosters</v>
      </c>
      <c r="R6" s="2">
        <f>Data!L7</f>
        <v>83</v>
      </c>
      <c r="S6" s="2">
        <f>Data!M7</f>
        <v>3065</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32</v>
      </c>
      <c r="Y6">
        <f t="shared" si="4"/>
        <v>84</v>
      </c>
      <c r="Z6">
        <f t="shared" si="12"/>
        <v>3097</v>
      </c>
      <c r="AA6" s="113">
        <f t="shared" si="13"/>
        <v>84.030970088999993</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32</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24</v>
      </c>
      <c r="C7" s="113">
        <f t="shared" si="8"/>
        <v>83.030600088</v>
      </c>
      <c r="D7">
        <f t="shared" si="1"/>
        <v>21</v>
      </c>
      <c r="E7" s="3" t="str">
        <f t="shared" si="9"/>
        <v>p</v>
      </c>
      <c r="F7">
        <f t="shared" si="10"/>
        <v>3</v>
      </c>
      <c r="G7">
        <v>88</v>
      </c>
      <c r="H7" t="str">
        <f>Data!A8</f>
        <v>Big Moose</v>
      </c>
      <c r="I7" s="2" t="str">
        <f>Data!C8</f>
        <v>Rabbitohs</v>
      </c>
      <c r="J7" s="2" t="str">
        <f>Data!D8</f>
        <v>Sharks</v>
      </c>
      <c r="K7" s="2" t="str">
        <f>Data!E8</f>
        <v>Panthers</v>
      </c>
      <c r="L7" s="2" t="str">
        <f>IF(Data!$S$3&lt;Engine!L$1,0,Data!F8)</f>
        <v>Bulldogs</v>
      </c>
      <c r="M7" s="2" t="str">
        <f>IF(Data!$S$3&lt;Engine!M$1,0,Data!G8)</f>
        <v>Storm</v>
      </c>
      <c r="N7" s="2" t="str">
        <f>IF(Data!$S$3&lt;Engine!N$1,0,Data!H8)</f>
        <v>Sea Eagles</v>
      </c>
      <c r="O7" s="2" t="str">
        <f>IF(Data!$S$3&lt;Engine!O$1,0,Data!I8)</f>
        <v>Roosters</v>
      </c>
      <c r="P7" s="2" t="str">
        <f>IF(Data!$S$3&lt;Engine!P$1,0,Data!J8)</f>
        <v>Knights</v>
      </c>
      <c r="Q7" s="12" t="str">
        <f>IF(Data!B8=1,Data!K8,"No Tips")</f>
        <v>Storm</v>
      </c>
      <c r="R7" s="2">
        <f>Data!L8</f>
        <v>83</v>
      </c>
      <c r="S7" s="2">
        <f>Data!M8</f>
        <v>3060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32</v>
      </c>
      <c r="Y7">
        <f t="shared" si="4"/>
        <v>84</v>
      </c>
      <c r="Z7">
        <f t="shared" si="12"/>
        <v>3092</v>
      </c>
      <c r="AA7" s="113">
        <f t="shared" si="13"/>
        <v>84.030920087999988</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32</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10" customFormat="1" x14ac:dyDescent="0.3">
      <c r="A8" s="110">
        <v>7</v>
      </c>
      <c r="B8" s="110">
        <f t="shared" si="0"/>
        <v>16</v>
      </c>
      <c r="C8" s="113">
        <f t="shared" si="8"/>
        <v>85.031420087000001</v>
      </c>
      <c r="D8" s="110">
        <f t="shared" si="1"/>
        <v>16</v>
      </c>
      <c r="E8" s="111" t="str">
        <f t="shared" si="9"/>
        <v>u</v>
      </c>
      <c r="F8" s="110" t="str">
        <f t="shared" si="10"/>
        <v/>
      </c>
      <c r="G8">
        <v>87</v>
      </c>
      <c r="H8" t="str">
        <f>Data!A9</f>
        <v>BillyB</v>
      </c>
      <c r="I8" s="2" t="str">
        <f>Data!C9</f>
        <v>Rabbitohs</v>
      </c>
      <c r="J8" s="2" t="str">
        <f>Data!D9</f>
        <v>Sharks</v>
      </c>
      <c r="K8" s="2" t="str">
        <f>Data!E9</f>
        <v>Panthers</v>
      </c>
      <c r="L8" s="2" t="str">
        <f>IF(Data!$S$3&lt;Engine!L$1,0,Data!F9)</f>
        <v>Bulldogs</v>
      </c>
      <c r="M8" s="2" t="str">
        <f>IF(Data!$S$3&lt;Engine!M$1,0,Data!G9)</f>
        <v>Storm</v>
      </c>
      <c r="N8" s="2" t="str">
        <f>IF(Data!$S$3&lt;Engine!N$1,0,Data!H9)</f>
        <v>Sea Eagles</v>
      </c>
      <c r="O8" s="2" t="str">
        <f>IF(Data!$S$3&lt;Engine!O$1,0,Data!I9)</f>
        <v>Roosters</v>
      </c>
      <c r="P8" s="2" t="str">
        <f>IF(Data!$S$3&lt;Engine!P$1,0,Data!J9)</f>
        <v>Raiders</v>
      </c>
      <c r="Q8" s="12" t="str">
        <f>IF(Data!B9=1,Data!K9,"No Tips")</f>
        <v>Storm</v>
      </c>
      <c r="R8" s="2">
        <f>Data!L9</f>
        <v>85</v>
      </c>
      <c r="S8" s="2">
        <f>Data!M9</f>
        <v>3142</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32</v>
      </c>
      <c r="Y8" s="110">
        <f t="shared" si="4"/>
        <v>86</v>
      </c>
      <c r="Z8" s="110">
        <f t="shared" si="12"/>
        <v>3174</v>
      </c>
      <c r="AA8" s="113">
        <f t="shared" si="13"/>
        <v>86.031740087000003</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32</v>
      </c>
      <c r="AF8" s="110">
        <f>IF(I8="","",IF(Q8="",0,IF(AND(Q8&gt;0,COUNTIF('Stats Calculator'!$T$24:$AA$24,Q8)=1),HLOOKUP(Q8,'Stats Calculator'!$T$24:$AA$27,4,FALSE),IF(AND(Q8&gt;0,COUNTIF('Stats Calculator'!$T$25:$AA$25,Q8)=1),HLOOKUP(Q8,'Stats Calculator'!$T$25:$AA$27,3,FALSE)))))</f>
        <v>5</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2</v>
      </c>
      <c r="AL8" s="110">
        <f t="shared" si="14"/>
        <v>12</v>
      </c>
    </row>
    <row r="9" spans="1:38" x14ac:dyDescent="0.3">
      <c r="A9">
        <v>8</v>
      </c>
      <c r="B9">
        <f t="shared" si="0"/>
        <v>22</v>
      </c>
      <c r="C9" s="113">
        <f t="shared" si="8"/>
        <v>83.031130086000005</v>
      </c>
      <c r="D9">
        <f t="shared" si="1"/>
        <v>23</v>
      </c>
      <c r="E9" s="3" t="str">
        <f t="shared" si="9"/>
        <v>q</v>
      </c>
      <c r="F9">
        <f t="shared" si="10"/>
        <v>1</v>
      </c>
      <c r="G9">
        <v>86</v>
      </c>
      <c r="H9" t="str">
        <f>Data!A10</f>
        <v>blakey94</v>
      </c>
      <c r="I9" s="2" t="str">
        <f>Data!C10</f>
        <v>Eels</v>
      </c>
      <c r="J9" s="2" t="str">
        <f>Data!D10</f>
        <v>Sharks</v>
      </c>
      <c r="K9" s="2" t="str">
        <f>Data!E10</f>
        <v>Broncos</v>
      </c>
      <c r="L9" s="2" t="str">
        <f>IF(Data!$S$3&lt;Engine!L$1,0,Data!F10)</f>
        <v>Bulldogs</v>
      </c>
      <c r="M9" s="2" t="str">
        <f>IF(Data!$S$3&lt;Engine!M$1,0,Data!G10)</f>
        <v>Storm</v>
      </c>
      <c r="N9" s="2" t="str">
        <f>IF(Data!$S$3&lt;Engine!N$1,0,Data!H10)</f>
        <v>Sea Eagles</v>
      </c>
      <c r="O9" s="2" t="str">
        <f>IF(Data!$S$3&lt;Engine!O$1,0,Data!I10)</f>
        <v>Dragons</v>
      </c>
      <c r="P9" s="2" t="str">
        <f>IF(Data!$S$3&lt;Engine!P$1,0,Data!J10)</f>
        <v>Knights</v>
      </c>
      <c r="Q9" s="12" t="str">
        <f>IF(Data!B10=1,Data!K10,"No Tips")</f>
        <v>Storm</v>
      </c>
      <c r="R9" s="2">
        <f>Data!L10</f>
        <v>83</v>
      </c>
      <c r="S9" s="2">
        <f>Data!M10</f>
        <v>3113</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16</v>
      </c>
      <c r="Y9">
        <f t="shared" si="4"/>
        <v>83</v>
      </c>
      <c r="Z9">
        <f t="shared" si="12"/>
        <v>3129</v>
      </c>
      <c r="AA9" s="113">
        <f t="shared" si="13"/>
        <v>83.031290085999998</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16</v>
      </c>
      <c r="AF9">
        <f>IF(I9="","",IF(Q9="",0,IF(AND(Q9&gt;0,COUNTIF('Stats Calculator'!$T$24:$AA$24,Q9)=1),HLOOKUP(Q9,'Stats Calculator'!$T$24:$AA$27,4,FALSE),IF(AND(Q9&gt;0,COUNTIF('Stats Calculator'!$T$25:$AA$25,Q9)=1),HLOOKUP(Q9,'Stats Calculator'!$T$25:$AA$27,3,FALSE)))))</f>
        <v>5</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40</v>
      </c>
      <c r="C10" s="113">
        <f t="shared" si="8"/>
        <v>76.029580084999992</v>
      </c>
      <c r="D10">
        <f t="shared" si="1"/>
        <v>36</v>
      </c>
      <c r="E10" s="3" t="str">
        <f t="shared" si="9"/>
        <v>p</v>
      </c>
      <c r="F10">
        <f t="shared" si="10"/>
        <v>4</v>
      </c>
      <c r="G10">
        <v>85</v>
      </c>
      <c r="H10" t="str">
        <f>Data!A11</f>
        <v>Bridie</v>
      </c>
      <c r="I10" s="2" t="str">
        <f>Data!C11</f>
        <v>Rabbitohs</v>
      </c>
      <c r="J10" s="2" t="str">
        <f>Data!D11</f>
        <v>Sharks</v>
      </c>
      <c r="K10" s="2" t="str">
        <f>Data!E11</f>
        <v>Panthers</v>
      </c>
      <c r="L10" s="2" t="str">
        <f>IF(Data!$S$3&lt;Engine!L$1,0,Data!F11)</f>
        <v>Bulldogs</v>
      </c>
      <c r="M10" s="2" t="str">
        <f>IF(Data!$S$3&lt;Engine!M$1,0,Data!G11)</f>
        <v>Storm</v>
      </c>
      <c r="N10" s="2" t="str">
        <f>IF(Data!$S$3&lt;Engine!N$1,0,Data!H11)</f>
        <v>Cowboys</v>
      </c>
      <c r="O10" s="2" t="str">
        <f>IF(Data!$S$3&lt;Engine!O$1,0,Data!I11)</f>
        <v>Roosters</v>
      </c>
      <c r="P10" s="2" t="str">
        <f>IF(Data!$S$3&lt;Engine!P$1,0,Data!J11)</f>
        <v>Knights</v>
      </c>
      <c r="Q10" s="12" t="str">
        <f>IF(Data!B11=1,Data!K11,"No Tips")</f>
        <v>Storm</v>
      </c>
      <c r="R10" s="2">
        <f>Data!L11</f>
        <v>76</v>
      </c>
      <c r="S10" s="2">
        <f>Data!M11</f>
        <v>2958</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32</v>
      </c>
      <c r="Y10">
        <f t="shared" si="4"/>
        <v>77</v>
      </c>
      <c r="Z10">
        <f t="shared" si="12"/>
        <v>2990</v>
      </c>
      <c r="AA10" s="113">
        <f t="shared" si="13"/>
        <v>77.029900084999994</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32</v>
      </c>
      <c r="AF10">
        <f>IF(I10="","",IF(Q10="",0,IF(AND(Q10&gt;0,COUNTIF('Stats Calculator'!$T$24:$AA$24,Q10)=1),HLOOKUP(Q10,'Stats Calculator'!$T$24:$AA$27,4,FALSE),IF(AND(Q10&gt;0,COUNTIF('Stats Calculator'!$T$25:$AA$25,Q10)=1),HLOOKUP(Q10,'Stats Calculator'!$T$25:$AA$27,3,FALSE)))))</f>
        <v>5</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13</v>
      </c>
      <c r="C11" s="113">
        <f t="shared" si="8"/>
        <v>87.031040084000011</v>
      </c>
      <c r="D11">
        <f t="shared" si="1"/>
        <v>12</v>
      </c>
      <c r="E11" s="3" t="str">
        <f t="shared" si="9"/>
        <v>p</v>
      </c>
      <c r="F11">
        <f t="shared" si="10"/>
        <v>1</v>
      </c>
      <c r="G11">
        <v>84</v>
      </c>
      <c r="H11" t="str">
        <f>Data!A12</f>
        <v>Budgie</v>
      </c>
      <c r="I11" s="2" t="str">
        <f>Data!C12</f>
        <v>Rabbitohs</v>
      </c>
      <c r="J11" s="2" t="str">
        <f>Data!D12</f>
        <v>Sharks</v>
      </c>
      <c r="K11" s="2" t="str">
        <f>Data!E12</f>
        <v>Panthers</v>
      </c>
      <c r="L11" s="2" t="str">
        <f>IF(Data!$S$3&lt;Engine!L$1,0,Data!F12)</f>
        <v>Bulldogs</v>
      </c>
      <c r="M11" s="2" t="str">
        <f>IF(Data!$S$3&lt;Engine!M$1,0,Data!G12)</f>
        <v>Storm</v>
      </c>
      <c r="N11" s="2" t="str">
        <f>IF(Data!$S$3&lt;Engine!N$1,0,Data!H12)</f>
        <v>Cowboys</v>
      </c>
      <c r="O11" s="2" t="str">
        <f>IF(Data!$S$3&lt;Engine!O$1,0,Data!I12)</f>
        <v>Roosters</v>
      </c>
      <c r="P11" s="2" t="str">
        <f>IF(Data!$S$3&lt;Engine!P$1,0,Data!J12)</f>
        <v>Knights</v>
      </c>
      <c r="Q11" s="12" t="str">
        <f>IF(Data!B12=1,Data!K12,"No Tips")</f>
        <v>Storm</v>
      </c>
      <c r="R11" s="2">
        <f>Data!L12</f>
        <v>87</v>
      </c>
      <c r="S11" s="2">
        <f>Data!M12</f>
        <v>3104</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32</v>
      </c>
      <c r="Y11">
        <f t="shared" si="4"/>
        <v>88</v>
      </c>
      <c r="Z11">
        <f t="shared" si="12"/>
        <v>3136</v>
      </c>
      <c r="AA11" s="113">
        <f t="shared" si="13"/>
        <v>88.031360084000013</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32</v>
      </c>
      <c r="AF11">
        <f>IF(I11="","",IF(Q11="",0,IF(AND(Q11&gt;0,COUNTIF('Stats Calculator'!$T$24:$AA$24,Q11)=1),HLOOKUP(Q11,'Stats Calculator'!$T$24:$AA$27,4,FALSE),IF(AND(Q11&gt;0,COUNTIF('Stats Calculator'!$T$25:$AA$25,Q11)=1),HLOOKUP(Q11,'Stats Calculator'!$T$25:$AA$27,3,FALSE)))))</f>
        <v>5</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7</v>
      </c>
      <c r="C12" s="113">
        <f>IF(H12="ZZZZZZ Suspend","",R12+(S12/100000)+(G12/1000000000))</f>
        <v>90.031480083000005</v>
      </c>
      <c r="D12">
        <f t="shared" si="1"/>
        <v>7</v>
      </c>
      <c r="E12" s="3" t="str">
        <f t="shared" si="9"/>
        <v>u</v>
      </c>
      <c r="F12" t="str">
        <f t="shared" si="10"/>
        <v/>
      </c>
      <c r="G12">
        <v>83</v>
      </c>
      <c r="H12" t="str">
        <f>Data!A13</f>
        <v>Carlos</v>
      </c>
      <c r="I12" s="2" t="str">
        <f>Data!C13</f>
        <v>Rabbitohs</v>
      </c>
      <c r="J12" s="2" t="str">
        <f>Data!D13</f>
        <v>Sharks</v>
      </c>
      <c r="K12" s="2" t="str">
        <f>Data!E13</f>
        <v>Panthers</v>
      </c>
      <c r="L12" s="2" t="str">
        <f>IF(Data!$S$3&lt;Engine!L$1,0,Data!F13)</f>
        <v>Bulldogs</v>
      </c>
      <c r="M12" s="2" t="str">
        <f>IF(Data!$S$3&lt;Engine!M$1,0,Data!G13)</f>
        <v>Storm</v>
      </c>
      <c r="N12" s="2" t="str">
        <f>IF(Data!$S$3&lt;Engine!N$1,0,Data!H13)</f>
        <v>Sea Eagles</v>
      </c>
      <c r="O12" s="2" t="str">
        <f>IF(Data!$S$3&lt;Engine!O$1,0,Data!I13)</f>
        <v>Dragons</v>
      </c>
      <c r="P12" s="2" t="str">
        <f>IF(Data!$S$3&lt;Engine!P$1,0,Data!J13)</f>
        <v>Knights</v>
      </c>
      <c r="Q12" s="12" t="str">
        <f>IF(Data!B13=1,Data!K13,"No Tips")</f>
        <v>Storm</v>
      </c>
      <c r="R12" s="2">
        <f>Data!L13</f>
        <v>90</v>
      </c>
      <c r="S12" s="2">
        <f>Data!M13</f>
        <v>3148</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32</v>
      </c>
      <c r="Y12">
        <f t="shared" si="4"/>
        <v>91</v>
      </c>
      <c r="Z12">
        <f t="shared" si="12"/>
        <v>3180</v>
      </c>
      <c r="AA12" s="113">
        <f t="shared" si="13"/>
        <v>91.031800083000007</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32</v>
      </c>
      <c r="AF12">
        <f>IF(I12="","",IF(Q12="",0,IF(AND(Q12&gt;0,COUNTIF('Stats Calculator'!$T$24:$AA$24,Q12)=1),HLOOKUP(Q12,'Stats Calculator'!$T$24:$AA$27,4,FALSE),IF(AND(Q12&gt;0,COUNTIF('Stats Calculator'!$T$25:$AA$25,Q12)=1),HLOOKUP(Q12,'Stats Calculator'!$T$25:$AA$27,3,FALSE)))))</f>
        <v>5</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50</v>
      </c>
      <c r="C13" s="113">
        <f t="shared" si="8"/>
        <v>68.029280082</v>
      </c>
      <c r="D13">
        <f t="shared" si="1"/>
        <v>50</v>
      </c>
      <c r="E13" s="3" t="str">
        <f t="shared" si="9"/>
        <v>u</v>
      </c>
      <c r="F13" t="str">
        <f t="shared" si="10"/>
        <v/>
      </c>
      <c r="G13">
        <v>82</v>
      </c>
      <c r="H13" t="str">
        <f>Data!A14</f>
        <v>Chunka</v>
      </c>
      <c r="I13" s="2" t="str">
        <f>Data!C14</f>
        <v>Rabbitohs</v>
      </c>
      <c r="J13" s="2" t="str">
        <f>Data!D14</f>
        <v>Sharks</v>
      </c>
      <c r="K13" s="2" t="str">
        <f>Data!E14</f>
        <v>Broncos</v>
      </c>
      <c r="L13" s="2" t="str">
        <f>IF(Data!$S$3&lt;Engine!L$1,0,Data!F14)</f>
        <v>Bulldogs</v>
      </c>
      <c r="M13" s="2" t="str">
        <f>IF(Data!$S$3&lt;Engine!M$1,0,Data!G14)</f>
        <v>Storm</v>
      </c>
      <c r="N13" s="2" t="str">
        <f>IF(Data!$S$3&lt;Engine!N$1,0,Data!H14)</f>
        <v>Cowboys</v>
      </c>
      <c r="O13" s="2" t="str">
        <f>IF(Data!$S$3&lt;Engine!O$1,0,Data!I14)</f>
        <v>Roosters</v>
      </c>
      <c r="P13" s="2" t="str">
        <f>IF(Data!$S$3&lt;Engine!P$1,0,Data!J14)</f>
        <v>Knights</v>
      </c>
      <c r="Q13" s="12" t="str">
        <f>IF(Data!B14=1,Data!K14,"No Tips")</f>
        <v>Storm</v>
      </c>
      <c r="R13" s="2">
        <f>Data!L14</f>
        <v>68</v>
      </c>
      <c r="S13" s="2">
        <f>Data!M14</f>
        <v>2928</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32</v>
      </c>
      <c r="Y13">
        <f t="shared" si="4"/>
        <v>69</v>
      </c>
      <c r="Z13">
        <f t="shared" si="12"/>
        <v>2960</v>
      </c>
      <c r="AA13" s="113">
        <f t="shared" si="13"/>
        <v>69.029600082000002</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32</v>
      </c>
      <c r="AF13">
        <f>IF(I13="","",IF(Q13="",0,IF(AND(Q13&gt;0,COUNTIF('Stats Calculator'!$T$24:$AA$24,Q13)=1),HLOOKUP(Q13,'Stats Calculator'!$T$24:$AA$27,4,FALSE),IF(AND(Q13&gt;0,COUNTIF('Stats Calculator'!$T$25:$AA$25,Q13)=1),HLOOKUP(Q13,'Stats Calculator'!$T$25:$AA$27,3,FALSE)))))</f>
        <v>5</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56</v>
      </c>
      <c r="C14" s="113">
        <f t="shared" si="8"/>
        <v>59.029270081</v>
      </c>
      <c r="D14">
        <f t="shared" si="1"/>
        <v>56</v>
      </c>
      <c r="E14" s="3" t="str">
        <f t="shared" si="9"/>
        <v>u</v>
      </c>
      <c r="F14" t="str">
        <f t="shared" si="10"/>
        <v/>
      </c>
      <c r="G14">
        <v>81</v>
      </c>
      <c r="H14" t="str">
        <f>Data!A15</f>
        <v>Corey Malumae Temata</v>
      </c>
      <c r="I14" s="2" t="str">
        <f>Data!C15</f>
        <v>Eels</v>
      </c>
      <c r="J14" s="2" t="str">
        <f>Data!D15</f>
        <v>Titans</v>
      </c>
      <c r="K14" s="2" t="str">
        <f>Data!E15</f>
        <v>Panthers</v>
      </c>
      <c r="L14" s="2" t="str">
        <f>IF(Data!$S$3&lt;Engine!L$1,0,Data!F15)</f>
        <v>Bulldogs</v>
      </c>
      <c r="M14" s="2" t="str">
        <f>IF(Data!$S$3&lt;Engine!M$1,0,Data!G15)</f>
        <v>Storm</v>
      </c>
      <c r="N14" s="2" t="str">
        <f>IF(Data!$S$3&lt;Engine!N$1,0,Data!H15)</f>
        <v>Cowboys</v>
      </c>
      <c r="O14" s="2" t="str">
        <f>IF(Data!$S$3&lt;Engine!O$1,0,Data!I15)</f>
        <v>Dragons</v>
      </c>
      <c r="P14" s="2" t="str">
        <f>IF(Data!$S$3&lt;Engine!P$1,0,Data!J15)</f>
        <v>Knights</v>
      </c>
      <c r="Q14" s="12" t="str">
        <f>IF(Data!B15=1,Data!K15,"No Tips")</f>
        <v>Cowboys</v>
      </c>
      <c r="R14" s="2">
        <f>Data!L15</f>
        <v>59</v>
      </c>
      <c r="S14" s="2">
        <f>Data!M15</f>
        <v>2927</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0</v>
      </c>
      <c r="V14" s="1">
        <f>IF(I14="","",IF(T14=Data!S$3,2,0))</f>
        <v>0</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Y14">
        <f t="shared" si="4"/>
        <v>59</v>
      </c>
      <c r="Z14">
        <f t="shared" si="12"/>
        <v>2943</v>
      </c>
      <c r="AA14" s="113">
        <f t="shared" si="13"/>
        <v>59.029430081000001</v>
      </c>
      <c r="AB14">
        <f t="shared" si="1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
      <c r="A15">
        <v>14</v>
      </c>
      <c r="B15">
        <f t="shared" si="0"/>
        <v>27</v>
      </c>
      <c r="C15" s="113">
        <f t="shared" si="8"/>
        <v>81.029780080000009</v>
      </c>
      <c r="D15">
        <f t="shared" si="1"/>
        <v>27</v>
      </c>
      <c r="E15" s="3" t="str">
        <f t="shared" si="9"/>
        <v>u</v>
      </c>
      <c r="F15" t="str">
        <f t="shared" si="10"/>
        <v/>
      </c>
      <c r="G15">
        <v>80</v>
      </c>
      <c r="H15" t="str">
        <f>Data!A16</f>
        <v>Craig Young's Love Child</v>
      </c>
      <c r="I15" s="2" t="str">
        <f>Data!C16</f>
        <v>Rabbitohs</v>
      </c>
      <c r="J15" s="2" t="str">
        <f>Data!D16</f>
        <v>Sharks</v>
      </c>
      <c r="K15" s="2" t="str">
        <f>Data!E16</f>
        <v>Panthers</v>
      </c>
      <c r="L15" s="2" t="str">
        <f>IF(Data!$S$3&lt;Engine!L$1,0,Data!F16)</f>
        <v>Bulldogs</v>
      </c>
      <c r="M15" s="2" t="str">
        <f>IF(Data!$S$3&lt;Engine!M$1,0,Data!G16)</f>
        <v>Storm</v>
      </c>
      <c r="N15" s="2" t="str">
        <f>IF(Data!$S$3&lt;Engine!N$1,0,Data!H16)</f>
        <v>Cowboys</v>
      </c>
      <c r="O15" s="2" t="str">
        <f>IF(Data!$S$3&lt;Engine!O$1,0,Data!I16)</f>
        <v>Roosters</v>
      </c>
      <c r="P15" s="2" t="str">
        <f>IF(Data!$S$3&lt;Engine!P$1,0,Data!J16)</f>
        <v>Raiders</v>
      </c>
      <c r="Q15" s="12" t="str">
        <f>IF(Data!B16=1,Data!K16,"No Tips")</f>
        <v>Storm</v>
      </c>
      <c r="R15" s="2">
        <f>Data!L16</f>
        <v>81</v>
      </c>
      <c r="S15" s="2">
        <f>Data!M16</f>
        <v>2978</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32</v>
      </c>
      <c r="Y15">
        <f t="shared" si="4"/>
        <v>82</v>
      </c>
      <c r="Z15">
        <f t="shared" si="12"/>
        <v>3010</v>
      </c>
      <c r="AA15" s="113">
        <f t="shared" si="13"/>
        <v>82.030100080000011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32</v>
      </c>
      <c r="AF15">
        <f>IF(I15="","",IF(Q15="",0,IF(AND(Q15&gt;0,COUNTIF('Stats Calculator'!$T$24:$AA$24,Q15)=1),HLOOKUP(Q15,'Stats Calculator'!$T$24:$AA$27,4,FALSE),IF(AND(Q15&gt;0,COUNTIF('Stats Calculator'!$T$25:$AA$25,Q15)=1),HLOOKUP(Q15,'Stats Calculator'!$T$25:$AA$27,3,FALSE)))))</f>
        <v>5</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53</v>
      </c>
      <c r="C16" s="113">
        <f t="shared" si="8"/>
        <v>65.030760079000004</v>
      </c>
      <c r="D16">
        <f t="shared" si="1"/>
        <v>52</v>
      </c>
      <c r="E16" s="3" t="str">
        <f t="shared" si="9"/>
        <v>p</v>
      </c>
      <c r="F16">
        <f t="shared" si="10"/>
        <v>1</v>
      </c>
      <c r="G16">
        <v>79</v>
      </c>
      <c r="H16" t="str">
        <f>Data!A17</f>
        <v>Cruella</v>
      </c>
      <c r="I16" s="2" t="str">
        <f>Data!C17</f>
        <v>Rabbitohs</v>
      </c>
      <c r="J16" s="2" t="str">
        <f>Data!D17</f>
        <v>Sharks</v>
      </c>
      <c r="K16" s="2" t="str">
        <f>Data!E17</f>
        <v>Panthers</v>
      </c>
      <c r="L16" s="2" t="str">
        <f>IF(Data!$S$3&lt;Engine!L$1,0,Data!F17)</f>
        <v>Bulldogs</v>
      </c>
      <c r="M16" s="2" t="str">
        <f>IF(Data!$S$3&lt;Engine!M$1,0,Data!G17)</f>
        <v>Storm</v>
      </c>
      <c r="N16" s="2" t="str">
        <f>IF(Data!$S$3&lt;Engine!N$1,0,Data!H17)</f>
        <v>Cowboys</v>
      </c>
      <c r="O16" s="2" t="str">
        <f>IF(Data!$S$3&lt;Engine!O$1,0,Data!I17)</f>
        <v>Dragons</v>
      </c>
      <c r="P16" s="2" t="str">
        <f>IF(Data!$S$3&lt;Engine!P$1,0,Data!J17)</f>
        <v>Knights</v>
      </c>
      <c r="Q16" s="12" t="str">
        <f>IF(Data!B17=1,Data!K17,"No Tips")</f>
        <v>Bulldogs</v>
      </c>
      <c r="R16" s="2">
        <f>Data!L17</f>
        <v>65</v>
      </c>
      <c r="S16" s="2">
        <f>Data!M17</f>
        <v>3076</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32</v>
      </c>
      <c r="Y16">
        <f>IF(H16="ZZZZZZ Suspend","",R16+W16)</f>
        <v>66</v>
      </c>
      <c r="Z16">
        <f t="shared" si="12"/>
        <v>3108</v>
      </c>
      <c r="AA16" s="113">
        <f t="shared" si="13"/>
        <v>66.031080079000006</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32</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54</v>
      </c>
      <c r="C17" s="113">
        <f t="shared" si="8"/>
        <v>63.028330077999996</v>
      </c>
      <c r="D17">
        <f t="shared" si="1"/>
        <v>55</v>
      </c>
      <c r="E17" s="3" t="str">
        <f t="shared" si="9"/>
        <v>q</v>
      </c>
      <c r="F17">
        <f t="shared" si="10"/>
        <v>1</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63</v>
      </c>
      <c r="S17" s="2">
        <f>Data!M18</f>
        <v>2833</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Y17">
        <f t="shared" ref="Y17:Y80" si="17">IF(H17="ZZZZZZ Suspend","",R17+W17)</f>
        <v>61</v>
      </c>
      <c r="Z17">
        <f t="shared" si="12"/>
        <v>2849</v>
      </c>
      <c r="AA17" s="113">
        <f t="shared" si="13"/>
        <v>61.028490077999997</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46</v>
      </c>
      <c r="C18" s="113">
        <f t="shared" si="8"/>
        <v>72.030250076999991</v>
      </c>
      <c r="D18">
        <f t="shared" si="1"/>
        <v>46</v>
      </c>
      <c r="E18" s="3" t="str">
        <f t="shared" si="9"/>
        <v>u</v>
      </c>
      <c r="F18" t="str">
        <f t="shared" si="10"/>
        <v/>
      </c>
      <c r="G18">
        <v>77</v>
      </c>
      <c r="H18" t="str">
        <f>Data!A19</f>
        <v>Fouad Khochaiche</v>
      </c>
      <c r="I18" s="2" t="str">
        <f>Data!C19</f>
        <v>Rabbitohs</v>
      </c>
      <c r="J18" s="2" t="str">
        <f>Data!D19</f>
        <v>Sharks</v>
      </c>
      <c r="K18" s="2" t="str">
        <f>Data!E19</f>
        <v>Panthers</v>
      </c>
      <c r="L18" s="2" t="str">
        <f>IF(Data!$S$3&lt;Engine!L$1,0,Data!F19)</f>
        <v>Bulldogs</v>
      </c>
      <c r="M18" s="2" t="str">
        <f>IF(Data!$S$3&lt;Engine!M$1,0,Data!G19)</f>
        <v>Storm</v>
      </c>
      <c r="N18" s="2" t="str">
        <f>IF(Data!$S$3&lt;Engine!N$1,0,Data!H19)</f>
        <v>Sea Eagles</v>
      </c>
      <c r="O18" s="2" t="str">
        <f>IF(Data!$S$3&lt;Engine!O$1,0,Data!I19)</f>
        <v>Roosters</v>
      </c>
      <c r="P18" s="2" t="str">
        <f>IF(Data!$S$3&lt;Engine!P$1,0,Data!J19)</f>
        <v>Knights</v>
      </c>
      <c r="Q18" s="12" t="str">
        <f>IF(Data!B19=1,Data!K19,"No Tips")</f>
        <v>Storm</v>
      </c>
      <c r="R18" s="2">
        <f>Data!L19</f>
        <v>72</v>
      </c>
      <c r="S18" s="2">
        <f>Data!M19</f>
        <v>3025</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32</v>
      </c>
      <c r="Y18">
        <f t="shared" si="17"/>
        <v>73</v>
      </c>
      <c r="Z18">
        <f t="shared" si="12"/>
        <v>3057</v>
      </c>
      <c r="AA18" s="113">
        <f t="shared" si="13"/>
        <v>73.030570076999993</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32</v>
      </c>
      <c r="AF18">
        <f>IF(I18="","",IF(Q18="",0,IF(AND(Q18&gt;0,COUNTIF('Stats Calculator'!$T$24:$AA$24,Q18)=1),HLOOKUP(Q18,'Stats Calculator'!$T$24:$AA$27,4,FALSE),IF(AND(Q18&gt;0,COUNTIF('Stats Calculator'!$T$25:$AA$25,Q18)=1),HLOOKUP(Q18,'Stats Calculator'!$T$25:$AA$27,3,FALSE)))))</f>
        <v>5</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31</v>
      </c>
      <c r="C19" s="113">
        <f t="shared" si="8"/>
        <v>80.029820076000007</v>
      </c>
      <c r="D19">
        <f t="shared" si="1"/>
        <v>31</v>
      </c>
      <c r="E19" s="3" t="str">
        <f t="shared" si="9"/>
        <v>u</v>
      </c>
      <c r="F19" t="str">
        <f t="shared" si="10"/>
        <v/>
      </c>
      <c r="G19">
        <v>76</v>
      </c>
      <c r="H19" t="str">
        <f>Data!A20</f>
        <v>gdadisho</v>
      </c>
      <c r="I19" s="2" t="str">
        <f>Data!C20</f>
        <v>Rabbitohs</v>
      </c>
      <c r="J19" s="2" t="str">
        <f>Data!D20</f>
        <v>Sharks</v>
      </c>
      <c r="K19" s="2" t="str">
        <f>Data!E20</f>
        <v>Panthers</v>
      </c>
      <c r="L19" s="2" t="str">
        <f>IF(Data!$S$3&lt;Engine!L$1,0,Data!F20)</f>
        <v>Warriors</v>
      </c>
      <c r="M19" s="2" t="str">
        <f>IF(Data!$S$3&lt;Engine!M$1,0,Data!G20)</f>
        <v>Storm</v>
      </c>
      <c r="N19" s="2" t="str">
        <f>IF(Data!$S$3&lt;Engine!N$1,0,Data!H20)</f>
        <v>Cowboys</v>
      </c>
      <c r="O19" s="2" t="str">
        <f>IF(Data!$S$3&lt;Engine!O$1,0,Data!I20)</f>
        <v>Roosters</v>
      </c>
      <c r="P19" s="2" t="str">
        <f>IF(Data!$S$3&lt;Engine!P$1,0,Data!J20)</f>
        <v>Raiders</v>
      </c>
      <c r="Q19" s="12" t="str">
        <f>IF(Data!B20=1,Data!K20,"No Tips")</f>
        <v>Cowboys</v>
      </c>
      <c r="R19" s="2">
        <f>Data!L20</f>
        <v>80</v>
      </c>
      <c r="S19" s="2">
        <f>Data!M20</f>
        <v>2982</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32</v>
      </c>
      <c r="Y19">
        <f t="shared" si="17"/>
        <v>81</v>
      </c>
      <c r="Z19">
        <f t="shared" si="12"/>
        <v>3014</v>
      </c>
      <c r="AA19" s="113">
        <f t="shared" si="13"/>
        <v>81.030140076000009</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32</v>
      </c>
      <c r="AF19">
        <f>IF(I19="","",IF(Q19="",0,IF(AND(Q19&gt;0,COUNTIF('Stats Calculator'!$T$24:$AA$24,Q19)=1),HLOOKUP(Q19,'Stats Calculator'!$T$24:$AA$27,4,FALSE),IF(AND(Q19&gt;0,COUNTIF('Stats Calculator'!$T$25:$AA$25,Q19)=1),HLOOKUP(Q19,'Stats Calculator'!$T$25:$AA$27,3,FALSE)))))</f>
        <v>6</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
      <c r="A20">
        <v>19</v>
      </c>
      <c r="B20">
        <f t="shared" si="0"/>
        <v>1</v>
      </c>
      <c r="C20" s="113">
        <f t="shared" si="8"/>
        <v>98.032120075000009</v>
      </c>
      <c r="D20">
        <f t="shared" si="1"/>
        <v>1</v>
      </c>
      <c r="E20" s="3" t="str">
        <f t="shared" si="9"/>
        <v>u</v>
      </c>
      <c r="F20" t="str">
        <f t="shared" si="10"/>
        <v/>
      </c>
      <c r="G20">
        <v>75</v>
      </c>
      <c r="H20" t="str">
        <f>Data!A21</f>
        <v>GeorgeTheDragon</v>
      </c>
      <c r="I20" s="2" t="str">
        <f>Data!C21</f>
        <v>Rabbitohs</v>
      </c>
      <c r="J20" s="2" t="str">
        <f>Data!D21</f>
        <v>Sharks</v>
      </c>
      <c r="K20" s="2" t="str">
        <f>Data!E21</f>
        <v>Panthers</v>
      </c>
      <c r="L20" s="2" t="str">
        <f>IF(Data!$S$3&lt;Engine!L$1,0,Data!F21)</f>
        <v>Bulldogs</v>
      </c>
      <c r="M20" s="2" t="str">
        <f>IF(Data!$S$3&lt;Engine!M$1,0,Data!G21)</f>
        <v>Storm</v>
      </c>
      <c r="N20" s="2" t="str">
        <f>IF(Data!$S$3&lt;Engine!N$1,0,Data!H21)</f>
        <v>Sea Eagles</v>
      </c>
      <c r="O20" s="2" t="str">
        <f>IF(Data!$S$3&lt;Engine!O$1,0,Data!I21)</f>
        <v>Roosters</v>
      </c>
      <c r="P20" s="2" t="str">
        <f>IF(Data!$S$3&lt;Engine!P$1,0,Data!J21)</f>
        <v>Knights</v>
      </c>
      <c r="Q20" s="12" t="str">
        <f>IF(Data!B21=1,Data!K21,"No Tips")</f>
        <v>Storm</v>
      </c>
      <c r="R20" s="2">
        <f>Data!L21</f>
        <v>98</v>
      </c>
      <c r="S20" s="2">
        <f>Data!M21</f>
        <v>3212</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32</v>
      </c>
      <c r="Y20">
        <f t="shared" si="17"/>
        <v>99</v>
      </c>
      <c r="Z20">
        <f t="shared" si="12"/>
        <v>3244</v>
      </c>
      <c r="AA20" s="113">
        <f t="shared" si="13"/>
        <v>99.032440074999997</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32</v>
      </c>
      <c r="AF20">
        <f>IF(I20="","",IF(Q20="",0,IF(AND(Q20&gt;0,COUNTIF('Stats Calculator'!$T$24:$AA$24,Q20)=1),HLOOKUP(Q20,'Stats Calculator'!$T$24:$AA$27,4,FALSE),IF(AND(Q20&gt;0,COUNTIF('Stats Calculator'!$T$25:$AA$25,Q20)=1),HLOOKUP(Q20,'Stats Calculator'!$T$25:$AA$27,3,FALSE)))))</f>
        <v>5</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32</v>
      </c>
      <c r="C21" s="113">
        <f t="shared" si="8"/>
        <v>79.030360074000001</v>
      </c>
      <c r="D21">
        <f t="shared" si="1"/>
        <v>32</v>
      </c>
      <c r="E21" s="3" t="str">
        <f t="shared" si="9"/>
        <v>u</v>
      </c>
      <c r="F21" t="str">
        <f t="shared" si="10"/>
        <v/>
      </c>
      <c r="G21">
        <v>74</v>
      </c>
      <c r="H21" t="str">
        <f>Data!A22</f>
        <v>Guru2810</v>
      </c>
      <c r="I21" s="2" t="str">
        <f>Data!C22</f>
        <v>Rabbitohs</v>
      </c>
      <c r="J21" s="2" t="str">
        <f>Data!D22</f>
        <v>Sharks</v>
      </c>
      <c r="K21" s="2" t="str">
        <f>Data!E22</f>
        <v>Panthers</v>
      </c>
      <c r="L21" s="2" t="str">
        <f>IF(Data!$S$3&lt;Engine!L$1,0,Data!F22)</f>
        <v>Bulldogs</v>
      </c>
      <c r="M21" s="2" t="str">
        <f>IF(Data!$S$3&lt;Engine!M$1,0,Data!G22)</f>
        <v>Storm</v>
      </c>
      <c r="N21" s="2" t="str">
        <f>IF(Data!$S$3&lt;Engine!N$1,0,Data!H22)</f>
        <v>Cowboys</v>
      </c>
      <c r="O21" s="2" t="str">
        <f>IF(Data!$S$3&lt;Engine!O$1,0,Data!I22)</f>
        <v>Roosters</v>
      </c>
      <c r="P21" s="2" t="str">
        <f>IF(Data!$S$3&lt;Engine!P$1,0,Data!J22)</f>
        <v>Raiders</v>
      </c>
      <c r="Q21" s="12" t="str">
        <f>IF(Data!B22=1,Data!K22,"No Tips")</f>
        <v>Storm</v>
      </c>
      <c r="R21" s="2">
        <f>Data!L22</f>
        <v>79</v>
      </c>
      <c r="S21" s="2">
        <f>Data!M22</f>
        <v>3036</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32</v>
      </c>
      <c r="Y21">
        <f t="shared" si="17"/>
        <v>80</v>
      </c>
      <c r="Z21">
        <f t="shared" si="12"/>
        <v>3068</v>
      </c>
      <c r="AA21" s="113">
        <f t="shared" si="13"/>
        <v>80.030680074000003</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32</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9</v>
      </c>
      <c r="C22" s="113">
        <f t="shared" si="8"/>
        <v>89.030950073</v>
      </c>
      <c r="D22">
        <f t="shared" si="1"/>
        <v>10</v>
      </c>
      <c r="E22" s="3" t="str">
        <f t="shared" si="9"/>
        <v>q</v>
      </c>
      <c r="F22">
        <f t="shared" si="10"/>
        <v>1</v>
      </c>
      <c r="G22">
        <v>73</v>
      </c>
      <c r="H22" t="str">
        <f>Data!A23</f>
        <v>I miss Benji</v>
      </c>
      <c r="I22" s="2" t="str">
        <f>Data!C23</f>
        <v>Eels</v>
      </c>
      <c r="J22" s="2" t="str">
        <f>Data!D23</f>
        <v>Sharks</v>
      </c>
      <c r="K22" s="2" t="str">
        <f>Data!E23</f>
        <v>Broncos</v>
      </c>
      <c r="L22" s="2" t="str">
        <f>IF(Data!$S$3&lt;Engine!L$1,0,Data!F23)</f>
        <v>Bulldogs</v>
      </c>
      <c r="M22" s="2" t="str">
        <f>IF(Data!$S$3&lt;Engine!M$1,0,Data!G23)</f>
        <v>Storm</v>
      </c>
      <c r="N22" s="2" t="str">
        <f>IF(Data!$S$3&lt;Engine!N$1,0,Data!H23)</f>
        <v>Cowboys</v>
      </c>
      <c r="O22" s="2" t="str">
        <f>IF(Data!$S$3&lt;Engine!O$1,0,Data!I23)</f>
        <v>Roosters</v>
      </c>
      <c r="P22" s="2" t="str">
        <f>IF(Data!$S$3&lt;Engine!P$1,0,Data!J23)</f>
        <v>Knights</v>
      </c>
      <c r="Q22" s="12" t="str">
        <f>IF(Data!B23=1,Data!K23,"No Tips")</f>
        <v>Roosters</v>
      </c>
      <c r="R22" s="2">
        <f>Data!L23</f>
        <v>89</v>
      </c>
      <c r="S22" s="2">
        <f>Data!M23</f>
        <v>3095</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0</v>
      </c>
      <c r="V22" s="1">
        <f>IF(I22="","",IF(T22=Data!S$3,2,0))</f>
        <v>0</v>
      </c>
      <c r="W22" s="1">
        <f t="shared" si="11"/>
        <v>0</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Y22">
        <f t="shared" si="17"/>
        <v>89</v>
      </c>
      <c r="Z22">
        <f t="shared" si="12"/>
        <v>3111</v>
      </c>
      <c r="AA22" s="113">
        <f t="shared" si="13"/>
        <v>89.031110072999994</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AF22">
        <f>IF(I22="","",IF(Q22="",0,IF(AND(Q22&gt;0,COUNTIF('Stats Calculator'!$T$24:$AA$24,Q22)=1),HLOOKUP(Q22,'Stats Calculator'!$T$24:$AA$27,4,FALSE),IF(AND(Q22&gt;0,COUNTIF('Stats Calculator'!$T$25:$AA$25,Q22)=1),HLOOKUP(Q22,'Stats Calculator'!$T$25:$AA$27,3,FALSE)))))</f>
        <v>7</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0</v>
      </c>
      <c r="AL22">
        <f t="shared" si="14"/>
        <v>9</v>
      </c>
    </row>
    <row r="23" spans="1:38" x14ac:dyDescent="0.3">
      <c r="A23">
        <v>22</v>
      </c>
      <c r="B23">
        <f t="shared" si="0"/>
        <v>57</v>
      </c>
      <c r="C23" s="113">
        <f t="shared" si="8"/>
        <v>48.027360072</v>
      </c>
      <c r="D23">
        <f t="shared" si="1"/>
        <v>57</v>
      </c>
      <c r="E23" s="3" t="str">
        <f t="shared" si="9"/>
        <v>u</v>
      </c>
      <c r="F23" t="str">
        <f t="shared" si="10"/>
        <v/>
      </c>
      <c r="G23">
        <v>72</v>
      </c>
      <c r="H23" t="str">
        <f>Data!A24</f>
        <v>isha68</v>
      </c>
      <c r="I23" s="2" t="str">
        <f>Data!C24</f>
        <v>Rabbitohs</v>
      </c>
      <c r="J23" s="2" t="str">
        <f>Data!D24</f>
        <v>Sharks</v>
      </c>
      <c r="K23" s="2" t="str">
        <f>Data!E24</f>
        <v>Broncos</v>
      </c>
      <c r="L23" s="2" t="str">
        <f>IF(Data!$S$3&lt;Engine!L$1,0,Data!F24)</f>
        <v>Bulldogs</v>
      </c>
      <c r="M23" s="2" t="str">
        <f>IF(Data!$S$3&lt;Engine!M$1,0,Data!G24)</f>
        <v>Storm</v>
      </c>
      <c r="N23" s="2" t="str">
        <f>IF(Data!$S$3&lt;Engine!N$1,0,Data!H24)</f>
        <v>Cowboys</v>
      </c>
      <c r="O23" s="2" t="str">
        <f>IF(Data!$S$3&lt;Engine!O$1,0,Data!I24)</f>
        <v>Dragons</v>
      </c>
      <c r="P23" s="2" t="str">
        <f>IF(Data!$S$3&lt;Engine!P$1,0,Data!J24)</f>
        <v>Knights</v>
      </c>
      <c r="Q23" s="12" t="str">
        <f>IF(Data!B24=1,Data!K24,"No Tips")</f>
        <v>Rabbitohs</v>
      </c>
      <c r="R23" s="2">
        <f>Data!L24</f>
        <v>48</v>
      </c>
      <c r="S23" s="2">
        <f>Data!M24</f>
        <v>2736</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2</v>
      </c>
      <c r="V23" s="1">
        <f>IF(I23="","",IF(T23=Data!S$3,2,0))</f>
        <v>0</v>
      </c>
      <c r="W23" s="1">
        <f t="shared" si="11"/>
        <v>3</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32</v>
      </c>
      <c r="Y23">
        <f t="shared" si="17"/>
        <v>51</v>
      </c>
      <c r="Z23">
        <f t="shared" si="12"/>
        <v>2768</v>
      </c>
      <c r="AA23" s="113">
        <f t="shared" si="13"/>
        <v>51.027680071999995</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32</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2</v>
      </c>
      <c r="AL23">
        <f t="shared" si="14"/>
        <v>12</v>
      </c>
    </row>
    <row r="24" spans="1:38" x14ac:dyDescent="0.3">
      <c r="A24">
        <v>23</v>
      </c>
      <c r="B24">
        <f t="shared" si="0"/>
        <v>28</v>
      </c>
      <c r="C24" s="113">
        <f t="shared" si="8"/>
        <v>80.031390071000004</v>
      </c>
      <c r="D24">
        <f t="shared" si="1"/>
        <v>28</v>
      </c>
      <c r="E24" s="3" t="str">
        <f t="shared" si="9"/>
        <v>u</v>
      </c>
      <c r="F24" t="str">
        <f t="shared" si="10"/>
        <v/>
      </c>
      <c r="G24">
        <v>71</v>
      </c>
      <c r="H24" t="str">
        <f>Data!A25</f>
        <v>iTerry</v>
      </c>
      <c r="I24" s="2" t="str">
        <f>Data!C25</f>
        <v>Rabbitohs</v>
      </c>
      <c r="J24" s="2" t="str">
        <f>Data!D25</f>
        <v>Sharks</v>
      </c>
      <c r="K24" s="2" t="str">
        <f>Data!E25</f>
        <v>Panthers</v>
      </c>
      <c r="L24" s="2" t="str">
        <f>IF(Data!$S$3&lt;Engine!L$1,0,Data!F25)</f>
        <v>Bulldogs</v>
      </c>
      <c r="M24" s="2" t="str">
        <f>IF(Data!$S$3&lt;Engine!M$1,0,Data!G25)</f>
        <v>Storm</v>
      </c>
      <c r="N24" s="2" t="str">
        <f>IF(Data!$S$3&lt;Engine!N$1,0,Data!H25)</f>
        <v>Sea Eagles</v>
      </c>
      <c r="O24" s="2" t="str">
        <f>IF(Data!$S$3&lt;Engine!O$1,0,Data!I25)</f>
        <v>Roosters</v>
      </c>
      <c r="P24" s="2" t="str">
        <f>IF(Data!$S$3&lt;Engine!P$1,0,Data!J25)</f>
        <v>Raiders</v>
      </c>
      <c r="Q24" s="12" t="str">
        <f>IF(Data!B25=1,Data!K25,"No Tips")</f>
        <v>Storm</v>
      </c>
      <c r="R24" s="2">
        <f>Data!L25</f>
        <v>80</v>
      </c>
      <c r="S24" s="2">
        <f>Data!M25</f>
        <v>3139</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32</v>
      </c>
      <c r="Y24">
        <f t="shared" si="17"/>
        <v>81</v>
      </c>
      <c r="Z24">
        <f t="shared" si="12"/>
        <v>3171</v>
      </c>
      <c r="AA24" s="113">
        <f t="shared" si="13"/>
        <v>81.031710071000006</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32</v>
      </c>
      <c r="AF24">
        <f>IF(I24="","",IF(Q24="",0,IF(AND(Q24&gt;0,COUNTIF('Stats Calculator'!$T$24:$AA$24,Q24)=1),HLOOKUP(Q24,'Stats Calculator'!$T$24:$AA$27,4,FALSE),IF(AND(Q24&gt;0,COUNTIF('Stats Calculator'!$T$25:$AA$25,Q24)=1),HLOOKUP(Q24,'Stats Calculator'!$T$25:$AA$27,3,FALSE)))))</f>
        <v>5</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37</v>
      </c>
      <c r="C25" s="113">
        <f t="shared" si="8"/>
        <v>76.02991007</v>
      </c>
      <c r="D25">
        <f t="shared" si="1"/>
        <v>38</v>
      </c>
      <c r="E25" s="3" t="str">
        <f t="shared" si="9"/>
        <v>q</v>
      </c>
      <c r="F25">
        <f t="shared" si="10"/>
        <v>1</v>
      </c>
      <c r="G25">
        <v>70</v>
      </c>
      <c r="H25" t="str">
        <f>Data!A26</f>
        <v>Krusty</v>
      </c>
      <c r="I25" s="2" t="str">
        <f>Data!C26</f>
        <v>Eels</v>
      </c>
      <c r="J25" s="2" t="str">
        <f>Data!D26</f>
        <v>Sharks</v>
      </c>
      <c r="K25" s="2" t="str">
        <f>Data!E26</f>
        <v>Broncos</v>
      </c>
      <c r="L25" s="2" t="str">
        <f>IF(Data!$S$3&lt;Engine!L$1,0,Data!F26)</f>
        <v>Bulldogs</v>
      </c>
      <c r="M25" s="2" t="str">
        <f>IF(Data!$S$3&lt;Engine!M$1,0,Data!G26)</f>
        <v>Storm</v>
      </c>
      <c r="N25" s="2" t="str">
        <f>IF(Data!$S$3&lt;Engine!N$1,0,Data!H26)</f>
        <v>Cowboys</v>
      </c>
      <c r="O25" s="2" t="str">
        <f>IF(Data!$S$3&lt;Engine!O$1,0,Data!I26)</f>
        <v>Dragons</v>
      </c>
      <c r="P25" s="2" t="str">
        <f>IF(Data!$S$3&lt;Engine!P$1,0,Data!J26)</f>
        <v>Raiders</v>
      </c>
      <c r="Q25" s="12" t="str">
        <f>IF(Data!B26=1,Data!K26,"No Tips")</f>
        <v>Storm</v>
      </c>
      <c r="R25" s="2">
        <f>Data!L26</f>
        <v>76</v>
      </c>
      <c r="S25" s="2">
        <f>Data!M26</f>
        <v>2991</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Y25">
        <f t="shared" si="17"/>
        <v>76</v>
      </c>
      <c r="Z25">
        <f t="shared" si="12"/>
        <v>3007</v>
      </c>
      <c r="AA25" s="113">
        <f t="shared" si="13"/>
        <v>76.030070069999994</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AF25">
        <f>IF(I25="","",IF(Q25="",0,IF(AND(Q25&gt;0,COUNTIF('Stats Calculator'!$T$24:$AA$24,Q25)=1),HLOOKUP(Q25,'Stats Calculator'!$T$24:$AA$27,4,FALSE),IF(AND(Q25&gt;0,COUNTIF('Stats Calculator'!$T$25:$AA$25,Q25)=1),HLOOKUP(Q25,'Stats Calculator'!$T$25:$AA$27,3,FALSE)))))</f>
        <v>5</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39</v>
      </c>
      <c r="C26" s="113">
        <f t="shared" si="8"/>
        <v>76.029770068999994</v>
      </c>
      <c r="D26">
        <f t="shared" si="1"/>
        <v>40</v>
      </c>
      <c r="E26" s="3" t="str">
        <f t="shared" si="9"/>
        <v>q</v>
      </c>
      <c r="F26">
        <f t="shared" si="10"/>
        <v>1</v>
      </c>
      <c r="G26">
        <v>69</v>
      </c>
      <c r="H26" t="str">
        <f>Data!A27</f>
        <v>Lou</v>
      </c>
      <c r="I26" s="2" t="str">
        <f>Data!C27</f>
        <v>Eels</v>
      </c>
      <c r="J26" s="2" t="str">
        <f>Data!D27</f>
        <v>Sharks</v>
      </c>
      <c r="K26" s="2" t="str">
        <f>Data!E27</f>
        <v>Panthers</v>
      </c>
      <c r="L26" s="2" t="str">
        <f>IF(Data!$S$3&lt;Engine!L$1,0,Data!F27)</f>
        <v>Bulldogs</v>
      </c>
      <c r="M26" s="2" t="str">
        <f>IF(Data!$S$3&lt;Engine!M$1,0,Data!G27)</f>
        <v>Storm</v>
      </c>
      <c r="N26" s="2" t="str">
        <f>IF(Data!$S$3&lt;Engine!N$1,0,Data!H27)</f>
        <v>Cowboys</v>
      </c>
      <c r="O26" s="2" t="str">
        <f>IF(Data!$S$3&lt;Engine!O$1,0,Data!I27)</f>
        <v>Roosters</v>
      </c>
      <c r="P26" s="2" t="str">
        <f>IF(Data!$S$3&lt;Engine!P$1,0,Data!J27)</f>
        <v>Raiders</v>
      </c>
      <c r="Q26" s="12" t="str">
        <f>IF(Data!B27=1,Data!K27,"No Tips")</f>
        <v>Storm</v>
      </c>
      <c r="R26" s="2">
        <f>Data!L27</f>
        <v>76</v>
      </c>
      <c r="S26" s="2">
        <f>Data!M27</f>
        <v>2977</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16</v>
      </c>
      <c r="Y26">
        <f t="shared" si="17"/>
        <v>76</v>
      </c>
      <c r="Z26">
        <f t="shared" si="12"/>
        <v>2993</v>
      </c>
      <c r="AA26" s="113">
        <f t="shared" si="13"/>
        <v>76.029930068999988</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16</v>
      </c>
      <c r="AF26">
        <f>IF(I26="","",IF(Q26="",0,IF(AND(Q26&gt;0,COUNTIF('Stats Calculator'!$T$24:$AA$24,Q26)=1),HLOOKUP(Q26,'Stats Calculator'!$T$24:$AA$27,4,FALSE),IF(AND(Q26&gt;0,COUNTIF('Stats Calculator'!$T$25:$AA$25,Q26)=1),HLOOKUP(Q26,'Stats Calculator'!$T$25:$AA$27,3,FALSE)))))</f>
        <v>5</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
      <c r="A27">
        <v>26</v>
      </c>
      <c r="B27">
        <f t="shared" si="0"/>
        <v>18</v>
      </c>
      <c r="C27" s="113">
        <f t="shared" si="8"/>
        <v>85.030610068000001</v>
      </c>
      <c r="D27">
        <f t="shared" si="1"/>
        <v>18</v>
      </c>
      <c r="E27" s="3" t="str">
        <f t="shared" si="9"/>
        <v>u</v>
      </c>
      <c r="F27" t="str">
        <f t="shared" si="10"/>
        <v/>
      </c>
      <c r="G27">
        <v>68</v>
      </c>
      <c r="H27" t="str">
        <f>Data!A28</f>
        <v>Lukebrooksbiggestfan</v>
      </c>
      <c r="I27" s="2" t="str">
        <f>Data!C28</f>
        <v>Rabbitohs</v>
      </c>
      <c r="J27" s="2" t="str">
        <f>Data!D28</f>
        <v>Titans</v>
      </c>
      <c r="K27" s="2" t="str">
        <f>Data!E28</f>
        <v>Panthers</v>
      </c>
      <c r="L27" s="2" t="str">
        <f>IF(Data!$S$3&lt;Engine!L$1,0,Data!F28)</f>
        <v>Bulldogs</v>
      </c>
      <c r="M27" s="2" t="str">
        <f>IF(Data!$S$3&lt;Engine!M$1,0,Data!G28)</f>
        <v>Storm</v>
      </c>
      <c r="N27" s="2" t="str">
        <f>IF(Data!$S$3&lt;Engine!N$1,0,Data!H28)</f>
        <v>Sea Eagles</v>
      </c>
      <c r="O27" s="2" t="str">
        <f>IF(Data!$S$3&lt;Engine!O$1,0,Data!I28)</f>
        <v>Roosters</v>
      </c>
      <c r="P27" s="2" t="str">
        <f>IF(Data!$S$3&lt;Engine!P$1,0,Data!J28)</f>
        <v>Knights</v>
      </c>
      <c r="Q27" s="12" t="str">
        <f>IF(Data!B28=1,Data!K28,"No Tips")</f>
        <v>Storm</v>
      </c>
      <c r="R27" s="2">
        <f>Data!L28</f>
        <v>85</v>
      </c>
      <c r="S27" s="2">
        <f>Data!M28</f>
        <v>3061</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32</v>
      </c>
      <c r="Y27">
        <f t="shared" si="17"/>
        <v>86</v>
      </c>
      <c r="Z27">
        <f t="shared" si="12"/>
        <v>3093</v>
      </c>
      <c r="AA27" s="113">
        <f t="shared" si="13"/>
        <v>86.030930068000004</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32</v>
      </c>
      <c r="AF27">
        <f>IF(I27="","",IF(Q27="",0,IF(AND(Q27&gt;0,COUNTIF('Stats Calculator'!$T$24:$AA$24,Q27)=1),HLOOKUP(Q27,'Stats Calculator'!$T$24:$AA$27,4,FALSE),IF(AND(Q27&gt;0,COUNTIF('Stats Calculator'!$T$25:$AA$25,Q27)=1),HLOOKUP(Q27,'Stats Calculator'!$T$25:$AA$27,3,FALSE)))))</f>
        <v>5</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4</v>
      </c>
      <c r="C28" s="113">
        <f t="shared" si="8"/>
        <v>93.030610066999998</v>
      </c>
      <c r="D28">
        <f t="shared" si="1"/>
        <v>4</v>
      </c>
      <c r="E28" s="3" t="str">
        <f t="shared" si="9"/>
        <v>u</v>
      </c>
      <c r="F28" t="str">
        <f t="shared" si="10"/>
        <v/>
      </c>
      <c r="G28">
        <v>67</v>
      </c>
      <c r="H28" t="str">
        <f>Data!A29</f>
        <v>Magnum</v>
      </c>
      <c r="I28" s="2" t="str">
        <f>Data!C29</f>
        <v>Rabbitohs</v>
      </c>
      <c r="J28" s="2" t="str">
        <f>Data!D29</f>
        <v>Sharks</v>
      </c>
      <c r="K28" s="2" t="str">
        <f>Data!E29</f>
        <v>Panthers</v>
      </c>
      <c r="L28" s="2" t="str">
        <f>IF(Data!$S$3&lt;Engine!L$1,0,Data!F29)</f>
        <v>Warriors</v>
      </c>
      <c r="M28" s="2" t="str">
        <f>IF(Data!$S$3&lt;Engine!M$1,0,Data!G29)</f>
        <v>Storm</v>
      </c>
      <c r="N28" s="2" t="str">
        <f>IF(Data!$S$3&lt;Engine!N$1,0,Data!H29)</f>
        <v>Cowboys</v>
      </c>
      <c r="O28" s="2" t="str">
        <f>IF(Data!$S$3&lt;Engine!O$1,0,Data!I29)</f>
        <v>Roosters</v>
      </c>
      <c r="P28" s="2" t="str">
        <f>IF(Data!$S$3&lt;Engine!P$1,0,Data!J29)</f>
        <v>Knights</v>
      </c>
      <c r="Q28" s="12" t="str">
        <f>IF(Data!B29=1,Data!K29,"No Tips")</f>
        <v>Roosters</v>
      </c>
      <c r="R28" s="2">
        <f>Data!L29</f>
        <v>93</v>
      </c>
      <c r="S28" s="2">
        <f>Data!M29</f>
        <v>3061</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32</v>
      </c>
      <c r="Y28">
        <f t="shared" si="17"/>
        <v>94</v>
      </c>
      <c r="Z28">
        <f t="shared" si="12"/>
        <v>3093</v>
      </c>
      <c r="AA28" s="113">
        <f t="shared" si="13"/>
        <v>94.030930067</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32</v>
      </c>
      <c r="AF28">
        <f>IF(I28="","",IF(Q28="",0,IF(AND(Q28&gt;0,COUNTIF('Stats Calculator'!$T$24:$AA$24,Q28)=1),HLOOKUP(Q28,'Stats Calculator'!$T$24:$AA$27,4,FALSE),IF(AND(Q28&gt;0,COUNTIF('Stats Calculator'!$T$25:$AA$25,Q28)=1),HLOOKUP(Q28,'Stats Calculator'!$T$25:$AA$27,3,FALSE)))))</f>
        <v>7</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33</v>
      </c>
      <c r="C29" s="113">
        <f t="shared" si="8"/>
        <v>78.030720066000001</v>
      </c>
      <c r="D29">
        <f t="shared" si="1"/>
        <v>33</v>
      </c>
      <c r="E29" s="3" t="str">
        <f t="shared" si="9"/>
        <v>u</v>
      </c>
      <c r="F29" t="str">
        <f t="shared" si="10"/>
        <v/>
      </c>
      <c r="G29">
        <v>66</v>
      </c>
      <c r="H29" t="str">
        <f>Data!A30</f>
        <v>Matt Brownie</v>
      </c>
      <c r="I29" s="2" t="str">
        <f>Data!C30</f>
        <v>Rabbitohs</v>
      </c>
      <c r="J29" s="2" t="str">
        <f>Data!D30</f>
        <v>Sharks</v>
      </c>
      <c r="K29" s="2" t="str">
        <f>Data!E30</f>
        <v>Panthers</v>
      </c>
      <c r="L29" s="2" t="str">
        <f>IF(Data!$S$3&lt;Engine!L$1,0,Data!F30)</f>
        <v>Bulldogs</v>
      </c>
      <c r="M29" s="2" t="str">
        <f>IF(Data!$S$3&lt;Engine!M$1,0,Data!G30)</f>
        <v>Storm</v>
      </c>
      <c r="N29" s="2" t="str">
        <f>IF(Data!$S$3&lt;Engine!N$1,0,Data!H30)</f>
        <v>Cowboys</v>
      </c>
      <c r="O29" s="2" t="str">
        <f>IF(Data!$S$3&lt;Engine!O$1,0,Data!I30)</f>
        <v>Roosters</v>
      </c>
      <c r="P29" s="2" t="str">
        <f>IF(Data!$S$3&lt;Engine!P$1,0,Data!J30)</f>
        <v>Raiders</v>
      </c>
      <c r="Q29" s="12" t="str">
        <f>IF(Data!B30=1,Data!K30,"No Tips")</f>
        <v>Storm</v>
      </c>
      <c r="R29" s="2">
        <f>Data!L30</f>
        <v>78</v>
      </c>
      <c r="S29" s="2">
        <f>Data!M30</f>
        <v>3072</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32</v>
      </c>
      <c r="Y29">
        <f t="shared" si="17"/>
        <v>79</v>
      </c>
      <c r="Z29">
        <f t="shared" si="12"/>
        <v>3104</v>
      </c>
      <c r="AA29" s="113">
        <f t="shared" si="13"/>
        <v>79.031040066000003</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32</v>
      </c>
      <c r="AF29">
        <f>IF(I29="","",IF(Q29="",0,IF(AND(Q29&gt;0,COUNTIF('Stats Calculator'!$T$24:$AA$24,Q29)=1),HLOOKUP(Q29,'Stats Calculator'!$T$24:$AA$27,4,FALSE),IF(AND(Q29&gt;0,COUNTIF('Stats Calculator'!$T$25:$AA$25,Q29)=1),HLOOKUP(Q29,'Stats Calculator'!$T$25:$AA$27,3,FALSE)))))</f>
        <v>5</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47</v>
      </c>
      <c r="C30" s="113">
        <f t="shared" si="8"/>
        <v>71.030620064999994</v>
      </c>
      <c r="D30">
        <f t="shared" si="1"/>
        <v>47</v>
      </c>
      <c r="E30" s="3" t="str">
        <f t="shared" si="9"/>
        <v>u</v>
      </c>
      <c r="F30" t="str">
        <f t="shared" si="10"/>
        <v/>
      </c>
      <c r="G30">
        <v>65</v>
      </c>
      <c r="H30" t="str">
        <f>Data!A31</f>
        <v>MB</v>
      </c>
      <c r="I30" s="2" t="str">
        <f>Data!C31</f>
        <v>Rabbitohs</v>
      </c>
      <c r="J30" s="2" t="str">
        <f>Data!D31</f>
        <v>Sharks</v>
      </c>
      <c r="K30" s="2" t="str">
        <f>Data!E31</f>
        <v>Panthers</v>
      </c>
      <c r="L30" s="2" t="str">
        <f>IF(Data!$S$3&lt;Engine!L$1,0,Data!F31)</f>
        <v>Bulldogs</v>
      </c>
      <c r="M30" s="2" t="str">
        <f>IF(Data!$S$3&lt;Engine!M$1,0,Data!G31)</f>
        <v>Storm</v>
      </c>
      <c r="N30" s="2" t="str">
        <f>IF(Data!$S$3&lt;Engine!N$1,0,Data!H31)</f>
        <v>Cowboys</v>
      </c>
      <c r="O30" s="2" t="str">
        <f>IF(Data!$S$3&lt;Engine!O$1,0,Data!I31)</f>
        <v>Roosters</v>
      </c>
      <c r="P30" s="2" t="str">
        <f>IF(Data!$S$3&lt;Engine!P$1,0,Data!J31)</f>
        <v>Knights</v>
      </c>
      <c r="Q30" s="12" t="str">
        <f>IF(Data!B31=1,Data!K31,"No Tips")</f>
        <v>Storm</v>
      </c>
      <c r="R30" s="2">
        <f>Data!L31</f>
        <v>71</v>
      </c>
      <c r="S30" s="2">
        <f>Data!M31</f>
        <v>3062</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32</v>
      </c>
      <c r="Y30">
        <f t="shared" si="17"/>
        <v>72</v>
      </c>
      <c r="Z30">
        <f t="shared" si="12"/>
        <v>3094</v>
      </c>
      <c r="AA30" s="113">
        <f t="shared" si="13"/>
        <v>72.030940064999996</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32</v>
      </c>
      <c r="AF30">
        <f>IF(I30="","",IF(Q30="",0,IF(AND(Q30&gt;0,COUNTIF('Stats Calculator'!$T$24:$AA$24,Q30)=1),HLOOKUP(Q30,'Stats Calculator'!$T$24:$AA$27,4,FALSE),IF(AND(Q30&gt;0,COUNTIF('Stats Calculator'!$T$25:$AA$25,Q30)=1),HLOOKUP(Q30,'Stats Calculator'!$T$25:$AA$27,3,FALSE)))))</f>
        <v>5</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1" customFormat="1" x14ac:dyDescent="0.3">
      <c r="A31">
        <v>30</v>
      </c>
      <c r="B31">
        <f t="shared" si="0"/>
        <v>34</v>
      </c>
      <c r="C31" s="113">
        <f t="shared" si="8"/>
        <v>78.030520064000001</v>
      </c>
      <c r="D31">
        <f t="shared" si="1"/>
        <v>34</v>
      </c>
      <c r="E31" s="3" t="str">
        <f t="shared" si="9"/>
        <v>u</v>
      </c>
      <c r="F31" t="str">
        <f t="shared" si="10"/>
        <v/>
      </c>
      <c r="G31">
        <v>64</v>
      </c>
      <c r="H31" t="str">
        <f>Data!A32</f>
        <v>Michael Wu</v>
      </c>
      <c r="I31" s="2" t="str">
        <f>Data!C32</f>
        <v>Rabbitohs</v>
      </c>
      <c r="J31" s="2" t="str">
        <f>Data!D32</f>
        <v>Sharks</v>
      </c>
      <c r="K31" s="2" t="str">
        <f>Data!E32</f>
        <v>Panthers</v>
      </c>
      <c r="L31" s="2" t="str">
        <f>IF(Data!$S$3&lt;Engine!L$1,0,Data!F32)</f>
        <v>Bulldogs</v>
      </c>
      <c r="M31" s="2" t="str">
        <f>IF(Data!$S$3&lt;Engine!M$1,0,Data!G32)</f>
        <v>Storm</v>
      </c>
      <c r="N31" s="2" t="str">
        <f>IF(Data!$S$3&lt;Engine!N$1,0,Data!H32)</f>
        <v>Cowboys</v>
      </c>
      <c r="O31" s="2" t="str">
        <f>IF(Data!$S$3&lt;Engine!O$1,0,Data!I32)</f>
        <v>Roosters</v>
      </c>
      <c r="P31" s="2" t="str">
        <f>IF(Data!$S$3&lt;Engine!P$1,0,Data!J32)</f>
        <v>Knights</v>
      </c>
      <c r="Q31" s="12" t="str">
        <f>IF(Data!B32=1,Data!K32,"No Tips")</f>
        <v>Storm</v>
      </c>
      <c r="R31" s="2">
        <f>Data!L32</f>
        <v>78</v>
      </c>
      <c r="S31" s="2">
        <f>Data!M32</f>
        <v>3052</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32</v>
      </c>
      <c r="Y31">
        <f t="shared" si="17"/>
        <v>79</v>
      </c>
      <c r="Z31">
        <f t="shared" si="12"/>
        <v>3084</v>
      </c>
      <c r="AA31" s="113">
        <f t="shared" si="13"/>
        <v>79.030840064000003</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32</v>
      </c>
      <c r="AD31"/>
      <c r="AE31"/>
      <c r="AF31">
        <f>IF(I31="","",IF(Q31="",0,IF(AND(Q31&gt;0,COUNTIF('Stats Calculator'!$T$24:$AA$24,Q31)=1),HLOOKUP(Q31,'Stats Calculator'!$T$24:$AA$27,4,FALSE),IF(AND(Q31&gt;0,COUNTIF('Stats Calculator'!$T$25:$AA$25,Q31)=1),HLOOKUP(Q31,'Stats Calculator'!$T$25:$AA$27,3,FALSE)))))</f>
        <v>5</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14</v>
      </c>
      <c r="C32" s="113">
        <f t="shared" si="8"/>
        <v>87.030680063000005</v>
      </c>
      <c r="D32">
        <f t="shared" si="1"/>
        <v>15</v>
      </c>
      <c r="E32" s="3" t="str">
        <f t="shared" si="9"/>
        <v>q</v>
      </c>
      <c r="F32">
        <f t="shared" si="10"/>
        <v>1</v>
      </c>
      <c r="G32">
        <v>63</v>
      </c>
      <c r="H32" t="str">
        <f>Data!A33</f>
        <v>Micrider</v>
      </c>
      <c r="I32" s="2" t="str">
        <f>Data!C33</f>
        <v>Eels</v>
      </c>
      <c r="J32" s="2" t="str">
        <f>Data!D33</f>
        <v>Sharks</v>
      </c>
      <c r="K32" s="2" t="str">
        <f>Data!E33</f>
        <v>Panthers</v>
      </c>
      <c r="L32" s="2" t="str">
        <f>IF(Data!$S$3&lt;Engine!L$1,0,Data!F33)</f>
        <v>Bulldogs</v>
      </c>
      <c r="M32" s="2" t="str">
        <f>IF(Data!$S$3&lt;Engine!M$1,0,Data!G33)</f>
        <v>Storm</v>
      </c>
      <c r="N32" s="2" t="str">
        <f>IF(Data!$S$3&lt;Engine!N$1,0,Data!H33)</f>
        <v>Cowboys</v>
      </c>
      <c r="O32" s="2" t="str">
        <f>IF(Data!$S$3&lt;Engine!O$1,0,Data!I33)</f>
        <v>Roosters</v>
      </c>
      <c r="P32" s="2" t="str">
        <f>IF(Data!$S$3&lt;Engine!P$1,0,Data!J33)</f>
        <v>Knights</v>
      </c>
      <c r="Q32" s="12" t="str">
        <f>IF(Data!B33=1,Data!K33,"No Tips")</f>
        <v>Roosters</v>
      </c>
      <c r="R32" s="2">
        <f>Data!L33</f>
        <v>87</v>
      </c>
      <c r="S32" s="2">
        <f>Data!M33</f>
        <v>3068</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Y32">
        <f t="shared" si="17"/>
        <v>87</v>
      </c>
      <c r="Z32">
        <f t="shared" si="12"/>
        <v>3084</v>
      </c>
      <c r="AA32" s="113">
        <f t="shared" si="13"/>
        <v>87.030840062999999</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
      <c r="A33">
        <v>32</v>
      </c>
      <c r="B33">
        <f t="shared" si="0"/>
        <v>38</v>
      </c>
      <c r="C33" s="113">
        <f t="shared" si="8"/>
        <v>76.029830062000002</v>
      </c>
      <c r="D33">
        <f t="shared" si="1"/>
        <v>39</v>
      </c>
      <c r="E33" s="3" t="str">
        <f t="shared" si="9"/>
        <v>q</v>
      </c>
      <c r="F33">
        <f t="shared" si="10"/>
        <v>1</v>
      </c>
      <c r="G33">
        <v>62</v>
      </c>
      <c r="H33" t="str">
        <f>Data!A34</f>
        <v>MJP181</v>
      </c>
      <c r="I33" s="2" t="str">
        <f>Data!C34</f>
        <v>Eels</v>
      </c>
      <c r="J33" s="2" t="str">
        <f>Data!D34</f>
        <v>Sharks</v>
      </c>
      <c r="K33" s="2" t="str">
        <f>Data!E34</f>
        <v>Panthers</v>
      </c>
      <c r="L33" s="2" t="str">
        <f>IF(Data!$S$3&lt;Engine!L$1,0,Data!F34)</f>
        <v>Bulldogs</v>
      </c>
      <c r="M33" s="2" t="str">
        <f>IF(Data!$S$3&lt;Engine!M$1,0,Data!G34)</f>
        <v>Storm</v>
      </c>
      <c r="N33" s="2" t="str">
        <f>IF(Data!$S$3&lt;Engine!N$1,0,Data!H34)</f>
        <v>Cowboys</v>
      </c>
      <c r="O33" s="2" t="str">
        <f>IF(Data!$S$3&lt;Engine!O$1,0,Data!I34)</f>
        <v>Roosters</v>
      </c>
      <c r="P33" s="2" t="str">
        <f>IF(Data!$S$3&lt;Engine!P$1,0,Data!J34)</f>
        <v>Knights</v>
      </c>
      <c r="Q33" s="12" t="str">
        <f>IF(Data!B34=1,Data!K34,"No Tips")</f>
        <v>Storm</v>
      </c>
      <c r="R33" s="2">
        <f>Data!L34</f>
        <v>76</v>
      </c>
      <c r="S33" s="2">
        <f>Data!M34</f>
        <v>2983</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Y33">
        <f t="shared" si="17"/>
        <v>76</v>
      </c>
      <c r="Z33">
        <f t="shared" si="12"/>
        <v>2999</v>
      </c>
      <c r="AA33" s="113">
        <f t="shared" si="13"/>
        <v>76.029990061999996</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
      <c r="A34">
        <v>33</v>
      </c>
      <c r="B34">
        <f t="shared" ref="B34:B65" si="18">IF(H34="ZZZZZZ Suspend","",RANK(C34,C:C))</f>
        <v>35</v>
      </c>
      <c r="C34" s="113">
        <f t="shared" si="8"/>
        <v>77.029550060999995</v>
      </c>
      <c r="D34">
        <f t="shared" ref="D34:D65" si="19">IF(H34="ZZZZZZ Suspend","",RANK(AA34,AA:AA))</f>
        <v>43</v>
      </c>
      <c r="E34" s="3" t="str">
        <f t="shared" si="9"/>
        <v>q</v>
      </c>
      <c r="F34">
        <f t="shared" si="10"/>
        <v>8</v>
      </c>
      <c r="G34">
        <v>61</v>
      </c>
      <c r="H34" t="str">
        <f>Data!A35</f>
        <v>MLC</v>
      </c>
      <c r="I34" s="2" t="str">
        <f>Data!C35</f>
        <v>Eels</v>
      </c>
      <c r="J34" s="2" t="str">
        <f>Data!D35</f>
        <v>Titans</v>
      </c>
      <c r="K34" s="2" t="str">
        <f>Data!E35</f>
        <v>Broncos</v>
      </c>
      <c r="L34" s="2" t="str">
        <f>IF(Data!$S$3&lt;Engine!L$1,0,Data!F35)</f>
        <v>Bulldogs</v>
      </c>
      <c r="M34" s="2" t="str">
        <f>IF(Data!$S$3&lt;Engine!M$1,0,Data!G35)</f>
        <v>Storm</v>
      </c>
      <c r="N34" s="2" t="str">
        <f>IF(Data!$S$3&lt;Engine!N$1,0,Data!H35)</f>
        <v>Cowboys</v>
      </c>
      <c r="O34" s="2" t="str">
        <f>IF(Data!$S$3&lt;Engine!O$1,0,Data!I35)</f>
        <v>Dragons</v>
      </c>
      <c r="P34" s="2" t="str">
        <f>IF(Data!$S$3&lt;Engine!P$1,0,Data!J35)</f>
        <v>Raiders</v>
      </c>
      <c r="Q34" s="12" t="str">
        <f>IF(Data!B35=1,Data!K35,"No Tips")</f>
        <v>Eels</v>
      </c>
      <c r="R34" s="2">
        <f>Data!L35</f>
        <v>77</v>
      </c>
      <c r="S34" s="2">
        <f>Data!M35</f>
        <v>2955</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-2</v>
      </c>
      <c r="V34" s="1">
        <f>IF(I34="","",IF(T34=Data!S$3,2,0))</f>
        <v>0</v>
      </c>
      <c r="W34" s="1">
        <f t="shared" si="11"/>
        <v>-2</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Y34">
        <f t="shared" si="17"/>
        <v>75</v>
      </c>
      <c r="Z34">
        <f t="shared" si="12"/>
        <v>2971</v>
      </c>
      <c r="AA34" s="113">
        <f t="shared" si="13"/>
        <v>75.029710060999989</v>
      </c>
      <c r="AB34">
        <f t="shared" si="16"/>
        <v>-2</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0</v>
      </c>
      <c r="AL34">
        <f t="shared" si="14"/>
        <v>5</v>
      </c>
    </row>
    <row r="35" spans="1:38" x14ac:dyDescent="0.3">
      <c r="A35">
        <v>34</v>
      </c>
      <c r="B35">
        <f t="shared" si="18"/>
        <v>29</v>
      </c>
      <c r="C35" s="113">
        <f t="shared" si="8"/>
        <v>80.030750060000003</v>
      </c>
      <c r="D35">
        <f t="shared" si="19"/>
        <v>29</v>
      </c>
      <c r="E35" s="3" t="str">
        <f t="shared" si="9"/>
        <v>u</v>
      </c>
      <c r="F35" t="str">
        <f t="shared" si="10"/>
        <v/>
      </c>
      <c r="G35">
        <v>60</v>
      </c>
      <c r="H35" t="str">
        <f>Data!A36</f>
        <v>MR. TAYLOR</v>
      </c>
      <c r="I35" s="2" t="str">
        <f>Data!C36</f>
        <v>Rabbitohs</v>
      </c>
      <c r="J35" s="2" t="str">
        <f>Data!D36</f>
        <v>Sharks</v>
      </c>
      <c r="K35" s="2" t="str">
        <f>Data!E36</f>
        <v>Panthers</v>
      </c>
      <c r="L35" s="2" t="str">
        <f>IF(Data!$S$3&lt;Engine!L$1,0,Data!F36)</f>
        <v>Bulldogs</v>
      </c>
      <c r="M35" s="2" t="str">
        <f>IF(Data!$S$3&lt;Engine!M$1,0,Data!G36)</f>
        <v>Storm</v>
      </c>
      <c r="N35" s="2" t="str">
        <f>IF(Data!$S$3&lt;Engine!N$1,0,Data!H36)</f>
        <v>Sea Eagles</v>
      </c>
      <c r="O35" s="2" t="str">
        <f>IF(Data!$S$3&lt;Engine!O$1,0,Data!I36)</f>
        <v>Roosters</v>
      </c>
      <c r="P35" s="2" t="str">
        <f>IF(Data!$S$3&lt;Engine!P$1,0,Data!J36)</f>
        <v>Knights</v>
      </c>
      <c r="Q35" s="12" t="str">
        <f>IF(Data!B36=1,Data!K36,"No Tips")</f>
        <v>Roosters</v>
      </c>
      <c r="R35" s="2">
        <f>Data!L36</f>
        <v>80</v>
      </c>
      <c r="S35" s="2">
        <f>Data!M36</f>
        <v>3075</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32</v>
      </c>
      <c r="Y35">
        <f t="shared" si="17"/>
        <v>81</v>
      </c>
      <c r="Z35">
        <f t="shared" si="12"/>
        <v>3107</v>
      </c>
      <c r="AA35" s="113">
        <f t="shared" si="13"/>
        <v>81.031070060000005</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32</v>
      </c>
      <c r="AF35">
        <f>IF(I35="","",IF(Q35="",0,IF(AND(Q35&gt;0,COUNTIF('Stats Calculator'!$T$24:$AA$24,Q35)=1),HLOOKUP(Q35,'Stats Calculator'!$T$24:$AA$27,4,FALSE),IF(AND(Q35&gt;0,COUNTIF('Stats Calculator'!$T$25:$AA$25,Q35)=1),HLOOKUP(Q35,'Stats Calculator'!$T$25:$AA$27,3,FALSE)))))</f>
        <v>7</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5</v>
      </c>
      <c r="C36" s="113">
        <f t="shared" si="8"/>
        <v>91.031970059000002</v>
      </c>
      <c r="D36">
        <f t="shared" si="19"/>
        <v>5</v>
      </c>
      <c r="E36" s="3" t="str">
        <f t="shared" si="9"/>
        <v>u</v>
      </c>
      <c r="F36" t="str">
        <f t="shared" si="10"/>
        <v/>
      </c>
      <c r="G36">
        <v>59</v>
      </c>
      <c r="H36" t="str">
        <f>Data!A37</f>
        <v>murch</v>
      </c>
      <c r="I36" s="2" t="str">
        <f>Data!C37</f>
        <v>Rabbitohs</v>
      </c>
      <c r="J36" s="2" t="str">
        <f>Data!D37</f>
        <v>Sharks</v>
      </c>
      <c r="K36" s="2" t="str">
        <f>Data!E37</f>
        <v>Panthers</v>
      </c>
      <c r="L36" s="2" t="str">
        <f>IF(Data!$S$3&lt;Engine!L$1,0,Data!F37)</f>
        <v>Warriors</v>
      </c>
      <c r="M36" s="2" t="str">
        <f>IF(Data!$S$3&lt;Engine!M$1,0,Data!G37)</f>
        <v>Storm</v>
      </c>
      <c r="N36" s="2" t="str">
        <f>IF(Data!$S$3&lt;Engine!N$1,0,Data!H37)</f>
        <v>Cowboys</v>
      </c>
      <c r="O36" s="2" t="str">
        <f>IF(Data!$S$3&lt;Engine!O$1,0,Data!I37)</f>
        <v>Roosters</v>
      </c>
      <c r="P36" s="2" t="str">
        <f>IF(Data!$S$3&lt;Engine!P$1,0,Data!J37)</f>
        <v>Knights</v>
      </c>
      <c r="Q36" s="12" t="str">
        <f>IF(Data!B37=1,Data!K37,"No Tips")</f>
        <v>Sharks</v>
      </c>
      <c r="R36" s="2">
        <f>Data!L37</f>
        <v>91</v>
      </c>
      <c r="S36" s="2">
        <f>Data!M37</f>
        <v>3197</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32</v>
      </c>
      <c r="Y36">
        <f t="shared" si="17"/>
        <v>92</v>
      </c>
      <c r="Z36">
        <f t="shared" si="12"/>
        <v>3229</v>
      </c>
      <c r="AA36" s="113">
        <f t="shared" si="13"/>
        <v>92.032290059000005</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32</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10</v>
      </c>
      <c r="C37" s="113">
        <f t="shared" si="8"/>
        <v>88.031150057999994</v>
      </c>
      <c r="D37">
        <f t="shared" si="19"/>
        <v>13</v>
      </c>
      <c r="E37" s="3" t="str">
        <f t="shared" si="9"/>
        <v>q</v>
      </c>
      <c r="F37">
        <f t="shared" si="10"/>
        <v>3</v>
      </c>
      <c r="G37">
        <v>58</v>
      </c>
      <c r="H37" t="str">
        <f>Data!A38</f>
        <v>NotLast</v>
      </c>
      <c r="I37" s="2" t="str">
        <f>Data!C38</f>
        <v>Eels</v>
      </c>
      <c r="J37" s="2" t="str">
        <f>Data!D38</f>
        <v>Sharks</v>
      </c>
      <c r="K37" s="2" t="str">
        <f>Data!E38</f>
        <v>Broncos</v>
      </c>
      <c r="L37" s="2" t="str">
        <f>IF(Data!$S$3&lt;Engine!L$1,0,Data!F38)</f>
        <v>Bulldogs</v>
      </c>
      <c r="M37" s="2" t="str">
        <f>IF(Data!$S$3&lt;Engine!M$1,0,Data!G38)</f>
        <v>Storm</v>
      </c>
      <c r="N37" s="2" t="str">
        <f>IF(Data!$S$3&lt;Engine!N$1,0,Data!H38)</f>
        <v>Cowboys</v>
      </c>
      <c r="O37" s="2" t="str">
        <f>IF(Data!$S$3&lt;Engine!O$1,0,Data!I38)</f>
        <v>Roosters</v>
      </c>
      <c r="P37" s="2" t="str">
        <f>IF(Data!$S$3&lt;Engine!P$1,0,Data!J38)</f>
        <v>Raiders</v>
      </c>
      <c r="Q37" s="12" t="str">
        <f>IF(Data!B38=1,Data!K38,"No Tips")</f>
        <v>Roosters</v>
      </c>
      <c r="R37" s="2">
        <f>Data!L38</f>
        <v>88</v>
      </c>
      <c r="S37" s="2">
        <f>Data!M38</f>
        <v>3115</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7"/>
        <v>88</v>
      </c>
      <c r="Z37">
        <f t="shared" si="12"/>
        <v>3131</v>
      </c>
      <c r="AA37" s="113">
        <f t="shared" si="13"/>
        <v>88.031310058000003</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58</v>
      </c>
      <c r="C38" s="113">
        <f t="shared" si="8"/>
        <v>18.025560057</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18</v>
      </c>
      <c r="S38" s="2">
        <f>Data!M39</f>
        <v>2556</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Y38">
        <f t="shared" si="17"/>
        <v>16</v>
      </c>
      <c r="Z38">
        <f t="shared" si="12"/>
        <v>2572</v>
      </c>
      <c r="AA38" s="113">
        <f t="shared" si="13"/>
        <v>16.025720057000001</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41</v>
      </c>
      <c r="C39" s="113">
        <f t="shared" si="8"/>
        <v>76.029160056000009</v>
      </c>
      <c r="D39">
        <f t="shared" si="19"/>
        <v>41</v>
      </c>
      <c r="E39" s="3" t="str">
        <f t="shared" si="9"/>
        <v>u</v>
      </c>
      <c r="F39" t="str">
        <f t="shared" si="10"/>
        <v/>
      </c>
      <c r="G39">
        <v>56</v>
      </c>
      <c r="H39" t="str">
        <f>Data!A40</f>
        <v>Pablo</v>
      </c>
      <c r="I39" s="2" t="str">
        <f>Data!C40</f>
        <v>Eels</v>
      </c>
      <c r="J39" s="2" t="str">
        <f>Data!D40</f>
        <v>Sharks</v>
      </c>
      <c r="K39" s="2" t="str">
        <f>Data!E40</f>
        <v>Panthers</v>
      </c>
      <c r="L39" s="2" t="str">
        <f>IF(Data!$S$3&lt;Engine!L$1,0,Data!F40)</f>
        <v>Bulldogs</v>
      </c>
      <c r="M39" s="2" t="str">
        <f>IF(Data!$S$3&lt;Engine!M$1,0,Data!G40)</f>
        <v>Storm</v>
      </c>
      <c r="N39" s="2" t="str">
        <f>IF(Data!$S$3&lt;Engine!N$1,0,Data!H40)</f>
        <v>Cowboys</v>
      </c>
      <c r="O39" s="2" t="str">
        <f>IF(Data!$S$3&lt;Engine!O$1,0,Data!I40)</f>
        <v>Roosters</v>
      </c>
      <c r="P39" s="2" t="str">
        <f>IF(Data!$S$3&lt;Engine!P$1,0,Data!J40)</f>
        <v>Raiders</v>
      </c>
      <c r="Q39" s="12" t="str">
        <f>IF(Data!B40=1,Data!K40,"No Tips")</f>
        <v>Sharks</v>
      </c>
      <c r="R39" s="2">
        <f>Data!L40</f>
        <v>76</v>
      </c>
      <c r="S39" s="2">
        <f>Data!M40</f>
        <v>2916</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Y39">
        <f t="shared" si="17"/>
        <v>76</v>
      </c>
      <c r="Z39">
        <f t="shared" si="12"/>
        <v>2932</v>
      </c>
      <c r="AA39" s="113">
        <f t="shared" si="13"/>
        <v>76.029320056000003</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
      <c r="A40">
        <v>39</v>
      </c>
      <c r="B40">
        <f t="shared" si="18"/>
        <v>43</v>
      </c>
      <c r="C40" s="113">
        <f t="shared" si="8"/>
        <v>75.030940055000002</v>
      </c>
      <c r="D40">
        <f t="shared" si="19"/>
        <v>42</v>
      </c>
      <c r="E40" s="3" t="str">
        <f t="shared" si="9"/>
        <v>p</v>
      </c>
      <c r="F40">
        <f t="shared" si="10"/>
        <v>1</v>
      </c>
      <c r="G40">
        <v>55</v>
      </c>
      <c r="H40" t="str">
        <f>Data!A41</f>
        <v>PabloW</v>
      </c>
      <c r="I40" s="2" t="str">
        <f>Data!C41</f>
        <v>Eels</v>
      </c>
      <c r="J40" s="2" t="str">
        <f>Data!D41</f>
        <v>Sharks</v>
      </c>
      <c r="K40" s="2" t="str">
        <f>Data!E41</f>
        <v>Panthers</v>
      </c>
      <c r="L40" s="2" t="str">
        <f>IF(Data!$S$3&lt;Engine!L$1,0,Data!F41)</f>
        <v>Bulldogs</v>
      </c>
      <c r="M40" s="2" t="str">
        <f>IF(Data!$S$3&lt;Engine!M$1,0,Data!G41)</f>
        <v>Storm</v>
      </c>
      <c r="N40" s="2" t="str">
        <f>IF(Data!$S$3&lt;Engine!N$1,0,Data!H41)</f>
        <v>Cowboys</v>
      </c>
      <c r="O40" s="2" t="str">
        <f>IF(Data!$S$3&lt;Engine!O$1,0,Data!I41)</f>
        <v>Roosters</v>
      </c>
      <c r="P40" s="2" t="str">
        <f>IF(Data!$S$3&lt;Engine!P$1,0,Data!J41)</f>
        <v>Raiders</v>
      </c>
      <c r="Q40" s="12" t="str">
        <f>IF(Data!B41=1,Data!K41,"No Tips")</f>
        <v>Roosters</v>
      </c>
      <c r="R40" s="2">
        <f>Data!L41</f>
        <v>75</v>
      </c>
      <c r="S40" s="2">
        <f>Data!M41</f>
        <v>3094</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Y40">
        <f t="shared" si="17"/>
        <v>75</v>
      </c>
      <c r="Z40">
        <f t="shared" si="12"/>
        <v>3110</v>
      </c>
      <c r="AA40" s="113">
        <f t="shared" si="13"/>
        <v>75.031100054999996</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AF40">
        <f>IF(I40="","",IF(Q40="",0,IF(AND(Q40&gt;0,COUNTIF('Stats Calculator'!$T$24:$AA$24,Q40)=1),HLOOKUP(Q40,'Stats Calculator'!$T$24:$AA$27,4,FALSE),IF(AND(Q40&gt;0,COUNTIF('Stats Calculator'!$T$25:$AA$25,Q40)=1),HLOOKUP(Q40,'Stats Calculator'!$T$25:$AA$27,3,FALSE)))))</f>
        <v>7</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
      <c r="A41">
        <v>40</v>
      </c>
      <c r="B41">
        <f t="shared" si="18"/>
        <v>15</v>
      </c>
      <c r="C41" s="113">
        <f t="shared" si="8"/>
        <v>87.030670053999998</v>
      </c>
      <c r="D41">
        <f t="shared" si="19"/>
        <v>14</v>
      </c>
      <c r="E41" s="3" t="str">
        <f t="shared" si="9"/>
        <v>p</v>
      </c>
      <c r="F41">
        <f t="shared" si="10"/>
        <v>1</v>
      </c>
      <c r="G41">
        <v>54</v>
      </c>
      <c r="H41" t="str">
        <f>Data!A42</f>
        <v>Panthers29</v>
      </c>
      <c r="I41" s="2" t="str">
        <f>Data!C42</f>
        <v>Rabbitohs</v>
      </c>
      <c r="J41" s="2" t="str">
        <f>Data!D42</f>
        <v>Sharks</v>
      </c>
      <c r="K41" s="2" t="str">
        <f>Data!E42</f>
        <v>Panthers</v>
      </c>
      <c r="L41" s="2" t="str">
        <f>IF(Data!$S$3&lt;Engine!L$1,0,Data!F42)</f>
        <v>Bulldogs</v>
      </c>
      <c r="M41" s="2" t="str">
        <f>IF(Data!$S$3&lt;Engine!M$1,0,Data!G42)</f>
        <v>Storm</v>
      </c>
      <c r="N41" s="2" t="str">
        <f>IF(Data!$S$3&lt;Engine!N$1,0,Data!H42)</f>
        <v>Cowboys</v>
      </c>
      <c r="O41" s="2" t="str">
        <f>IF(Data!$S$3&lt;Engine!O$1,0,Data!I42)</f>
        <v>Roosters</v>
      </c>
      <c r="P41" s="2" t="str">
        <f>IF(Data!$S$3&lt;Engine!P$1,0,Data!J42)</f>
        <v>Knights</v>
      </c>
      <c r="Q41" s="12" t="str">
        <f>IF(Data!B42=1,Data!K42,"No Tips")</f>
        <v>Roosters</v>
      </c>
      <c r="R41" s="2">
        <f>Data!L42</f>
        <v>87</v>
      </c>
      <c r="S41" s="2">
        <f>Data!M42</f>
        <v>3067</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32</v>
      </c>
      <c r="Y41">
        <f t="shared" si="17"/>
        <v>88</v>
      </c>
      <c r="Z41">
        <f t="shared" si="12"/>
        <v>3099</v>
      </c>
      <c r="AA41" s="113">
        <f t="shared" si="13"/>
        <v>88.030990054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32</v>
      </c>
      <c r="AF41">
        <f>IF(I41="","",IF(Q41="",0,IF(AND(Q41&gt;0,COUNTIF('Stats Calculator'!$T$24:$AA$24,Q41)=1),HLOOKUP(Q41,'Stats Calculator'!$T$24:$AA$27,4,FALSE),IF(AND(Q41&gt;0,COUNTIF('Stats Calculator'!$T$25:$AA$25,Q41)=1),HLOOKUP(Q41,'Stats Calculator'!$T$25:$AA$27,3,FALSE)))))</f>
        <v>7</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45</v>
      </c>
      <c r="C42" s="113">
        <f t="shared" si="8"/>
        <v>73.029600052999996</v>
      </c>
      <c r="D42">
        <f t="shared" si="19"/>
        <v>44</v>
      </c>
      <c r="E42" s="3" t="str">
        <f t="shared" si="9"/>
        <v>p</v>
      </c>
      <c r="F42">
        <f t="shared" si="10"/>
        <v>1</v>
      </c>
      <c r="G42">
        <v>53</v>
      </c>
      <c r="H42" t="str">
        <f>Data!A43</f>
        <v>Robert Cook</v>
      </c>
      <c r="I42" s="2" t="str">
        <f>Data!C43</f>
        <v>Rabbitohs</v>
      </c>
      <c r="J42" s="2" t="str">
        <f>Data!D43</f>
        <v>Sharks</v>
      </c>
      <c r="K42" s="2" t="str">
        <f>Data!E43</f>
        <v>Panthers</v>
      </c>
      <c r="L42" s="2" t="str">
        <f>IF(Data!$S$3&lt;Engine!L$1,0,Data!F43)</f>
        <v>Bulldogs</v>
      </c>
      <c r="M42" s="2" t="str">
        <f>IF(Data!$S$3&lt;Engine!M$1,0,Data!G43)</f>
        <v>Storm</v>
      </c>
      <c r="N42" s="2" t="str">
        <f>IF(Data!$S$3&lt;Engine!N$1,0,Data!H43)</f>
        <v>Cowboys</v>
      </c>
      <c r="O42" s="2" t="str">
        <f>IF(Data!$S$3&lt;Engine!O$1,0,Data!I43)</f>
        <v>Roosters</v>
      </c>
      <c r="P42" s="2" t="str">
        <f>IF(Data!$S$3&lt;Engine!P$1,0,Data!J43)</f>
        <v>Raiders</v>
      </c>
      <c r="Q42" s="12" t="str">
        <f>IF(Data!B43=1,Data!K43,"No Tips")</f>
        <v>Storm</v>
      </c>
      <c r="R42" s="2">
        <f>Data!L43</f>
        <v>73</v>
      </c>
      <c r="S42" s="2">
        <f>Data!M43</f>
        <v>2960</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32</v>
      </c>
      <c r="Y42">
        <f t="shared" si="17"/>
        <v>74</v>
      </c>
      <c r="Z42">
        <f t="shared" si="12"/>
        <v>2992</v>
      </c>
      <c r="AA42" s="113">
        <f t="shared" si="13"/>
        <v>74.029920052999998</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32</v>
      </c>
      <c r="AF42">
        <f>IF(I42="","",IF(Q42="",0,IF(AND(Q42&gt;0,COUNTIF('Stats Calculator'!$T$24:$AA$24,Q42)=1),HLOOKUP(Q42,'Stats Calculator'!$T$24:$AA$27,4,FALSE),IF(AND(Q42&gt;0,COUNTIF('Stats Calculator'!$T$25:$AA$25,Q42)=1),HLOOKUP(Q42,'Stats Calculator'!$T$25:$AA$27,3,FALSE)))))</f>
        <v>5</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6</v>
      </c>
      <c r="C43" s="113">
        <f t="shared" si="8"/>
        <v>91.031220052000009</v>
      </c>
      <c r="D43">
        <f t="shared" si="19"/>
        <v>6</v>
      </c>
      <c r="E43" s="3" t="str">
        <f t="shared" si="9"/>
        <v>u</v>
      </c>
      <c r="F43" t="str">
        <f t="shared" si="10"/>
        <v/>
      </c>
      <c r="G43">
        <v>52</v>
      </c>
      <c r="H43" t="str">
        <f>Data!A44</f>
        <v>Rossco the Pom</v>
      </c>
      <c r="I43" s="2" t="str">
        <f>Data!C44</f>
        <v>Rabbitohs</v>
      </c>
      <c r="J43" s="2" t="str">
        <f>Data!D44</f>
        <v>Sharks</v>
      </c>
      <c r="K43" s="2" t="str">
        <f>Data!E44</f>
        <v>Panthers</v>
      </c>
      <c r="L43" s="2" t="str">
        <f>IF(Data!$S$3&lt;Engine!L$1,0,Data!F44)</f>
        <v>Bulldogs</v>
      </c>
      <c r="M43" s="2" t="str">
        <f>IF(Data!$S$3&lt;Engine!M$1,0,Data!G44)</f>
        <v>Storm</v>
      </c>
      <c r="N43" s="2" t="str">
        <f>IF(Data!$S$3&lt;Engine!N$1,0,Data!H44)</f>
        <v>Cowboys</v>
      </c>
      <c r="O43" s="2" t="str">
        <f>IF(Data!$S$3&lt;Engine!O$1,0,Data!I44)</f>
        <v>Roosters</v>
      </c>
      <c r="P43" s="2" t="str">
        <f>IF(Data!$S$3&lt;Engine!P$1,0,Data!J44)</f>
        <v>Knights</v>
      </c>
      <c r="Q43" s="12" t="str">
        <f>IF(Data!B44=1,Data!K44,"No Tips")</f>
        <v>Storm</v>
      </c>
      <c r="R43" s="2">
        <f>Data!L44</f>
        <v>91</v>
      </c>
      <c r="S43" s="2">
        <f>Data!M44</f>
        <v>3122</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32</v>
      </c>
      <c r="Y43">
        <f t="shared" si="17"/>
        <v>92</v>
      </c>
      <c r="Z43">
        <f t="shared" si="12"/>
        <v>3154</v>
      </c>
      <c r="AA43" s="113">
        <f t="shared" si="13"/>
        <v>92.031540052000011</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32</v>
      </c>
      <c r="AF43">
        <f>IF(I43="","",IF(Q43="",0,IF(AND(Q43&gt;0,COUNTIF('Stats Calculator'!$T$24:$AA$24,Q43)=1),HLOOKUP(Q43,'Stats Calculator'!$T$24:$AA$27,4,FALSE),IF(AND(Q43&gt;0,COUNTIF('Stats Calculator'!$T$25:$AA$25,Q43)=1),HLOOKUP(Q43,'Stats Calculator'!$T$25:$AA$27,3,FALSE)))))</f>
        <v>5</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30</v>
      </c>
      <c r="C44" s="113">
        <f t="shared" si="8"/>
        <v>80.030550051000006</v>
      </c>
      <c r="D44">
        <f t="shared" si="19"/>
        <v>30</v>
      </c>
      <c r="E44" s="3" t="str">
        <f t="shared" si="9"/>
        <v>u</v>
      </c>
      <c r="F44" t="str">
        <f t="shared" si="10"/>
        <v/>
      </c>
      <c r="G44">
        <v>51</v>
      </c>
      <c r="H44" t="str">
        <f>Data!A45</f>
        <v>Runner</v>
      </c>
      <c r="I44" s="2" t="str">
        <f>Data!C45</f>
        <v>Rabbitohs</v>
      </c>
      <c r="J44" s="2" t="str">
        <f>Data!D45</f>
        <v>Sharks</v>
      </c>
      <c r="K44" s="2" t="str">
        <f>Data!E45</f>
        <v>Panthers</v>
      </c>
      <c r="L44" s="2" t="str">
        <f>IF(Data!$S$3&lt;Engine!L$1,0,Data!F45)</f>
        <v>Bulldogs</v>
      </c>
      <c r="M44" s="2" t="str">
        <f>IF(Data!$S$3&lt;Engine!M$1,0,Data!G45)</f>
        <v>Storm</v>
      </c>
      <c r="N44" s="2" t="str">
        <f>IF(Data!$S$3&lt;Engine!N$1,0,Data!H45)</f>
        <v>Sea Eagles</v>
      </c>
      <c r="O44" s="2" t="str">
        <f>IF(Data!$S$3&lt;Engine!O$1,0,Data!I45)</f>
        <v>Roosters</v>
      </c>
      <c r="P44" s="2" t="str">
        <f>IF(Data!$S$3&lt;Engine!P$1,0,Data!J45)</f>
        <v>Knights</v>
      </c>
      <c r="Q44" s="12" t="str">
        <f>IF(Data!B45=1,Data!K45,"No Tips")</f>
        <v>Sharks</v>
      </c>
      <c r="R44" s="2">
        <f>Data!L45</f>
        <v>80</v>
      </c>
      <c r="S44" s="2">
        <f>Data!M45</f>
        <v>3055</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32</v>
      </c>
      <c r="Y44">
        <f t="shared" si="17"/>
        <v>81</v>
      </c>
      <c r="Z44">
        <f t="shared" si="12"/>
        <v>3087</v>
      </c>
      <c r="AA44" s="113">
        <f t="shared" si="13"/>
        <v>81.030870050999994</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32</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26</v>
      </c>
      <c r="C45" s="113">
        <f t="shared" si="8"/>
        <v>81.031120049999998</v>
      </c>
      <c r="D45">
        <f t="shared" si="19"/>
        <v>25</v>
      </c>
      <c r="E45" s="3" t="str">
        <f t="shared" si="9"/>
        <v>p</v>
      </c>
      <c r="F45">
        <f t="shared" si="10"/>
        <v>1</v>
      </c>
      <c r="G45">
        <v>50</v>
      </c>
      <c r="H45" t="str">
        <f>Data!A46</f>
        <v>Seano</v>
      </c>
      <c r="I45" s="2" t="str">
        <f>Data!C46</f>
        <v>Rabbitohs</v>
      </c>
      <c r="J45" s="2" t="str">
        <f>Data!D46</f>
        <v>Sharks</v>
      </c>
      <c r="K45" s="2" t="str">
        <f>Data!E46</f>
        <v>Panthers</v>
      </c>
      <c r="L45" s="2" t="str">
        <f>IF(Data!$S$3&lt;Engine!L$1,0,Data!F46)</f>
        <v>Bulldogs</v>
      </c>
      <c r="M45" s="2" t="str">
        <f>IF(Data!$S$3&lt;Engine!M$1,0,Data!G46)</f>
        <v>Storm</v>
      </c>
      <c r="N45" s="2" t="str">
        <f>IF(Data!$S$3&lt;Engine!N$1,0,Data!H46)</f>
        <v>Cowboys</v>
      </c>
      <c r="O45" s="2" t="str">
        <f>IF(Data!$S$3&lt;Engine!O$1,0,Data!I46)</f>
        <v>Roosters</v>
      </c>
      <c r="P45" s="2" t="str">
        <f>IF(Data!$S$3&lt;Engine!P$1,0,Data!J46)</f>
        <v>Knights</v>
      </c>
      <c r="Q45" s="12" t="str">
        <f>IF(Data!B46=1,Data!K46,"No Tips")</f>
        <v>Storm</v>
      </c>
      <c r="R45" s="2">
        <f>Data!L46</f>
        <v>81</v>
      </c>
      <c r="S45" s="2">
        <f>Data!M46</f>
        <v>3112</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32</v>
      </c>
      <c r="Y45">
        <f t="shared" si="17"/>
        <v>82</v>
      </c>
      <c r="Z45">
        <f t="shared" si="12"/>
        <v>3144</v>
      </c>
      <c r="AA45" s="113">
        <f t="shared" si="13"/>
        <v>82.03144005</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32</v>
      </c>
      <c r="AF45">
        <f>IF(I45="","",IF(Q45="",0,IF(AND(Q45&gt;0,COUNTIF('Stats Calculator'!$T$24:$AA$24,Q45)=1),HLOOKUP(Q45,'Stats Calculator'!$T$24:$AA$27,4,FALSE),IF(AND(Q45&gt;0,COUNTIF('Stats Calculator'!$T$25:$AA$25,Q45)=1),HLOOKUP(Q45,'Stats Calculator'!$T$25:$AA$27,3,FALSE)))))</f>
        <v>5</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1" customFormat="1" x14ac:dyDescent="0.3">
      <c r="A46" s="11">
        <v>45</v>
      </c>
      <c r="B46" s="11">
        <f t="shared" si="18"/>
        <v>49</v>
      </c>
      <c r="C46" s="113">
        <f t="shared" si="8"/>
        <v>69.029460048999994</v>
      </c>
      <c r="D46" s="11">
        <f t="shared" si="19"/>
        <v>49</v>
      </c>
      <c r="E46" s="108" t="str">
        <f t="shared" si="9"/>
        <v>u</v>
      </c>
      <c r="F46" s="11" t="str">
        <f t="shared" si="10"/>
        <v/>
      </c>
      <c r="G46">
        <v>49</v>
      </c>
      <c r="H46" t="str">
        <f>Data!A47</f>
        <v>Shagger</v>
      </c>
      <c r="I46" s="2" t="str">
        <f>Data!C47</f>
        <v>Rabbitohs</v>
      </c>
      <c r="J46" s="2" t="str">
        <f>Data!D47</f>
        <v>Sharks</v>
      </c>
      <c r="K46" s="2" t="str">
        <f>Data!E47</f>
        <v>Panthers</v>
      </c>
      <c r="L46" s="2" t="str">
        <f>IF(Data!$S$3&lt;Engine!L$1,0,Data!F47)</f>
        <v>Warriors</v>
      </c>
      <c r="M46" s="2" t="str">
        <f>IF(Data!$S$3&lt;Engine!M$1,0,Data!G47)</f>
        <v>Storm</v>
      </c>
      <c r="N46" s="2" t="str">
        <f>IF(Data!$S$3&lt;Engine!N$1,0,Data!H47)</f>
        <v>Cowboys</v>
      </c>
      <c r="O46" s="2" t="str">
        <f>IF(Data!$S$3&lt;Engine!O$1,0,Data!I47)</f>
        <v>Dragons</v>
      </c>
      <c r="P46" s="2" t="str">
        <f>IF(Data!$S$3&lt;Engine!P$1,0,Data!J47)</f>
        <v>Raiders</v>
      </c>
      <c r="Q46" s="12" t="str">
        <f>IF(Data!B47=1,Data!K47,"No Tips")</f>
        <v>Storm</v>
      </c>
      <c r="R46" s="2">
        <f>Data!L47</f>
        <v>69</v>
      </c>
      <c r="S46" s="2">
        <f>Data!M47</f>
        <v>2946</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32</v>
      </c>
      <c r="Y46" s="11">
        <f t="shared" si="17"/>
        <v>70</v>
      </c>
      <c r="Z46" s="11">
        <f t="shared" si="12"/>
        <v>2978</v>
      </c>
      <c r="AA46" s="113">
        <f t="shared" si="13"/>
        <v>70.029780048999996</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32</v>
      </c>
      <c r="AF46" s="11">
        <f>IF(I46="","",IF(Q46="",0,IF(AND(Q46&gt;0,COUNTIF('Stats Calculator'!$T$24:$AA$24,Q46)=1),HLOOKUP(Q46,'Stats Calculator'!$T$24:$AA$27,4,FALSE),IF(AND(Q46&gt;0,COUNTIF('Stats Calculator'!$T$25:$AA$25,Q46)=1),HLOOKUP(Q46,'Stats Calculator'!$T$25:$AA$27,3,FALSE)))))</f>
        <v>5</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2</v>
      </c>
      <c r="AL46" s="11">
        <f t="shared" si="14"/>
        <v>12</v>
      </c>
    </row>
    <row r="47" spans="1:38" x14ac:dyDescent="0.3">
      <c r="A47">
        <v>46</v>
      </c>
      <c r="B47">
        <f t="shared" si="18"/>
        <v>8</v>
      </c>
      <c r="C47" s="113">
        <f t="shared" si="8"/>
        <v>89.031500047999998</v>
      </c>
      <c r="D47">
        <f t="shared" si="19"/>
        <v>9</v>
      </c>
      <c r="E47" s="3" t="str">
        <f t="shared" si="9"/>
        <v>q</v>
      </c>
      <c r="F47">
        <f t="shared" si="10"/>
        <v>1</v>
      </c>
      <c r="G47">
        <v>48</v>
      </c>
      <c r="H47" t="str">
        <f>Data!A48</f>
        <v>SMOG</v>
      </c>
      <c r="I47" s="2" t="str">
        <f>Data!C48</f>
        <v>Rabbitohs</v>
      </c>
      <c r="J47" s="2" t="str">
        <f>Data!D48</f>
        <v>Sharks</v>
      </c>
      <c r="K47" s="2" t="str">
        <f>Data!E48</f>
        <v>Panthers</v>
      </c>
      <c r="L47" s="2" t="str">
        <f>IF(Data!$S$3&lt;Engine!L$1,0,Data!F48)</f>
        <v>Bulldogs</v>
      </c>
      <c r="M47" s="2" t="str">
        <f>IF(Data!$S$3&lt;Engine!M$1,0,Data!G48)</f>
        <v>Storm</v>
      </c>
      <c r="N47" s="2" t="str">
        <f>IF(Data!$S$3&lt;Engine!N$1,0,Data!H48)</f>
        <v>Cowboys</v>
      </c>
      <c r="O47" s="2" t="str">
        <f>IF(Data!$S$3&lt;Engine!O$1,0,Data!I48)</f>
        <v>Roosters</v>
      </c>
      <c r="P47" s="2" t="str">
        <f>IF(Data!$S$3&lt;Engine!P$1,0,Data!J48)</f>
        <v>Raiders</v>
      </c>
      <c r="Q47" s="12" t="str">
        <f>IF(Data!B48=1,Data!K48,"No Tips")</f>
        <v>Storm</v>
      </c>
      <c r="R47" s="2">
        <f>Data!L48</f>
        <v>89</v>
      </c>
      <c r="S47" s="2">
        <f>Data!M48</f>
        <v>3150</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32</v>
      </c>
      <c r="Y47">
        <f t="shared" si="17"/>
        <v>90</v>
      </c>
      <c r="Z47">
        <f t="shared" si="12"/>
        <v>3182</v>
      </c>
      <c r="AA47" s="113">
        <f t="shared" si="13"/>
        <v>90.031820048</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32</v>
      </c>
      <c r="AF47">
        <f>IF(I47="","",IF(Q47="",0,IF(AND(Q47&gt;0,COUNTIF('Stats Calculator'!$T$24:$AA$24,Q47)=1),HLOOKUP(Q47,'Stats Calculator'!$T$24:$AA$27,4,FALSE),IF(AND(Q47&gt;0,COUNTIF('Stats Calculator'!$T$25:$AA$25,Q47)=1),HLOOKUP(Q47,'Stats Calculator'!$T$25:$AA$27,3,FALSE)))))</f>
        <v>5</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21</v>
      </c>
      <c r="C48" s="113">
        <f t="shared" si="8"/>
        <v>83.031650046999999</v>
      </c>
      <c r="D48">
        <f t="shared" si="19"/>
        <v>22</v>
      </c>
      <c r="E48" s="3" t="str">
        <f t="shared" si="9"/>
        <v>q</v>
      </c>
      <c r="F48">
        <f t="shared" si="10"/>
        <v>1</v>
      </c>
      <c r="G48">
        <v>47</v>
      </c>
      <c r="H48" t="str">
        <f>Data!A49</f>
        <v>Splinter</v>
      </c>
      <c r="I48" s="2" t="str">
        <f>Data!C49</f>
        <v>Eels</v>
      </c>
      <c r="J48" s="2" t="str">
        <f>Data!D49</f>
        <v>Titans</v>
      </c>
      <c r="K48" s="2" t="str">
        <f>Data!E49</f>
        <v>Broncos</v>
      </c>
      <c r="L48" s="2" t="str">
        <f>IF(Data!$S$3&lt;Engine!L$1,0,Data!F49)</f>
        <v>Warriors</v>
      </c>
      <c r="M48" s="2" t="str">
        <f>IF(Data!$S$3&lt;Engine!M$1,0,Data!G49)</f>
        <v>Storm</v>
      </c>
      <c r="N48" s="2" t="str">
        <f>IF(Data!$S$3&lt;Engine!N$1,0,Data!H49)</f>
        <v>Cowboys</v>
      </c>
      <c r="O48" s="2" t="str">
        <f>IF(Data!$S$3&lt;Engine!O$1,0,Data!I49)</f>
        <v>Roosters</v>
      </c>
      <c r="P48" s="2" t="str">
        <f>IF(Data!$S$3&lt;Engine!P$1,0,Data!J49)</f>
        <v>Raiders</v>
      </c>
      <c r="Q48" s="12" t="str">
        <f>IF(Data!B49=1,Data!K49,"No Tips")</f>
        <v>Storm</v>
      </c>
      <c r="R48" s="2">
        <f>Data!L49</f>
        <v>83</v>
      </c>
      <c r="S48" s="2">
        <f>Data!M49</f>
        <v>3165</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Y48">
        <f t="shared" si="17"/>
        <v>83</v>
      </c>
      <c r="Z48">
        <f t="shared" si="12"/>
        <v>3181</v>
      </c>
      <c r="AA48" s="113">
        <f t="shared" si="13"/>
        <v>83.031810046999993</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1" customFormat="1" x14ac:dyDescent="0.3">
      <c r="A49">
        <v>48</v>
      </c>
      <c r="B49">
        <f t="shared" si="18"/>
        <v>48</v>
      </c>
      <c r="C49" s="113">
        <f t="shared" si="8"/>
        <v>71.029160046000001</v>
      </c>
      <c r="D49">
        <f t="shared" si="19"/>
        <v>48</v>
      </c>
      <c r="E49" s="3" t="str">
        <f t="shared" si="9"/>
        <v>u</v>
      </c>
      <c r="F49" t="str">
        <f t="shared" si="10"/>
        <v/>
      </c>
      <c r="G49">
        <v>46</v>
      </c>
      <c r="H49" t="str">
        <f>Data!A50</f>
        <v>Stallion</v>
      </c>
      <c r="I49" s="2" t="str">
        <f>Data!C50</f>
        <v>Rabbitohs</v>
      </c>
      <c r="J49" s="2" t="str">
        <f>Data!D50</f>
        <v>Sharks</v>
      </c>
      <c r="K49" s="2" t="str">
        <f>Data!E50</f>
        <v>Panthers</v>
      </c>
      <c r="L49" s="2" t="str">
        <f>IF(Data!$S$3&lt;Engine!L$1,0,Data!F50)</f>
        <v>Bulldogs</v>
      </c>
      <c r="M49" s="2" t="str">
        <f>IF(Data!$S$3&lt;Engine!M$1,0,Data!G50)</f>
        <v>Storm</v>
      </c>
      <c r="N49" s="2" t="str">
        <f>IF(Data!$S$3&lt;Engine!N$1,0,Data!H50)</f>
        <v>Sea Eagles</v>
      </c>
      <c r="O49" s="2" t="str">
        <f>IF(Data!$S$3&lt;Engine!O$1,0,Data!I50)</f>
        <v>Roosters</v>
      </c>
      <c r="P49" s="2" t="str">
        <f>IF(Data!$S$3&lt;Engine!P$1,0,Data!J50)</f>
        <v>Knights</v>
      </c>
      <c r="Q49" s="12" t="str">
        <f>IF(Data!B50=1,Data!K50,"No Tips")</f>
        <v>Storm</v>
      </c>
      <c r="R49" s="2">
        <f>Data!L50</f>
        <v>71</v>
      </c>
      <c r="S49" s="2">
        <f>Data!M50</f>
        <v>2916</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32</v>
      </c>
      <c r="Y49">
        <f t="shared" si="17"/>
        <v>72</v>
      </c>
      <c r="Z49">
        <f t="shared" si="12"/>
        <v>2948</v>
      </c>
      <c r="AA49" s="113">
        <f t="shared" si="13"/>
        <v>72.029480046000003</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32</v>
      </c>
      <c r="AD49"/>
      <c r="AE49"/>
      <c r="AF49">
        <f>IF(I49="","",IF(Q49="",0,IF(AND(Q49&gt;0,COUNTIF('Stats Calculator'!$T$24:$AA$24,Q49)=1),HLOOKUP(Q49,'Stats Calculator'!$T$24:$AA$27,4,FALSE),IF(AND(Q49&gt;0,COUNTIF('Stats Calculator'!$T$25:$AA$25,Q49)=1),HLOOKUP(Q49,'Stats Calculator'!$T$25:$AA$27,3,FALSE)))))</f>
        <v>5</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20</v>
      </c>
      <c r="C50" s="113">
        <f t="shared" si="8"/>
        <v>84.031200044999991</v>
      </c>
      <c r="D50">
        <f t="shared" si="19"/>
        <v>19</v>
      </c>
      <c r="E50" s="3" t="str">
        <f t="shared" si="9"/>
        <v>p</v>
      </c>
      <c r="F50">
        <f t="shared" si="10"/>
        <v>1</v>
      </c>
      <c r="G50">
        <v>45</v>
      </c>
      <c r="H50" t="str">
        <f>Data!A51</f>
        <v>T-Bone</v>
      </c>
      <c r="I50" s="2" t="str">
        <f>Data!C51</f>
        <v>Eels</v>
      </c>
      <c r="J50" s="2" t="str">
        <f>Data!D51</f>
        <v>Sharks</v>
      </c>
      <c r="K50" s="2" t="str">
        <f>Data!E51</f>
        <v>Panthers</v>
      </c>
      <c r="L50" s="2" t="str">
        <f>IF(Data!$S$3&lt;Engine!L$1,0,Data!F51)</f>
        <v>Bulldogs</v>
      </c>
      <c r="M50" s="2" t="str">
        <f>IF(Data!$S$3&lt;Engine!M$1,0,Data!G51)</f>
        <v>Storm</v>
      </c>
      <c r="N50" s="2" t="str">
        <f>IF(Data!$S$3&lt;Engine!N$1,0,Data!H51)</f>
        <v>Sea Eagles</v>
      </c>
      <c r="O50" s="2" t="str">
        <f>IF(Data!$S$3&lt;Engine!O$1,0,Data!I51)</f>
        <v>Roosters</v>
      </c>
      <c r="P50" s="2" t="str">
        <f>IF(Data!$S$3&lt;Engine!P$1,0,Data!J51)</f>
        <v>Raiders</v>
      </c>
      <c r="Q50" s="12" t="str">
        <f>IF(Data!B51=1,Data!K51,"No Tips")</f>
        <v>Roosters</v>
      </c>
      <c r="R50" s="2">
        <f>Data!L51</f>
        <v>84</v>
      </c>
      <c r="S50" s="2">
        <f>Data!M51</f>
        <v>3120</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Y50">
        <f t="shared" si="17"/>
        <v>84</v>
      </c>
      <c r="Z50">
        <f t="shared" si="12"/>
        <v>3136</v>
      </c>
      <c r="AA50" s="113">
        <f t="shared" si="13"/>
        <v>84.031360045</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
      <c r="A51">
        <v>50</v>
      </c>
      <c r="B51">
        <f t="shared" si="18"/>
        <v>2</v>
      </c>
      <c r="C51" s="113">
        <f t="shared" si="8"/>
        <v>96.031350044000007</v>
      </c>
      <c r="D51">
        <f t="shared" si="19"/>
        <v>2</v>
      </c>
      <c r="E51" s="3" t="str">
        <f t="shared" si="9"/>
        <v>u</v>
      </c>
      <c r="F51" t="str">
        <f t="shared" si="10"/>
        <v/>
      </c>
      <c r="G51">
        <v>44</v>
      </c>
      <c r="H51" t="str">
        <f>Data!A52</f>
        <v>The Creator</v>
      </c>
      <c r="I51" s="2" t="str">
        <f>Data!C52</f>
        <v>Rabbitohs</v>
      </c>
      <c r="J51" s="2" t="str">
        <f>Data!D52</f>
        <v>Sharks</v>
      </c>
      <c r="K51" s="2" t="str">
        <f>Data!E52</f>
        <v>Panthers</v>
      </c>
      <c r="L51" s="2" t="str">
        <f>IF(Data!$S$3&lt;Engine!L$1,0,Data!F52)</f>
        <v>Bulldogs</v>
      </c>
      <c r="M51" s="2" t="str">
        <f>IF(Data!$S$3&lt;Engine!M$1,0,Data!G52)</f>
        <v>Storm</v>
      </c>
      <c r="N51" s="2" t="str">
        <f>IF(Data!$S$3&lt;Engine!N$1,0,Data!H52)</f>
        <v>Cowboys</v>
      </c>
      <c r="O51" s="2" t="str">
        <f>IF(Data!$S$3&lt;Engine!O$1,0,Data!I52)</f>
        <v>Roosters</v>
      </c>
      <c r="P51" s="2" t="str">
        <f>IF(Data!$S$3&lt;Engine!P$1,0,Data!J52)</f>
        <v>Knights</v>
      </c>
      <c r="Q51" s="12" t="str">
        <f>IF(Data!B52=1,Data!K52,"No Tips")</f>
        <v>Roosters</v>
      </c>
      <c r="R51" s="2">
        <f>Data!L52</f>
        <v>96</v>
      </c>
      <c r="S51" s="2">
        <f>Data!M52</f>
        <v>3135</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32</v>
      </c>
      <c r="Y51">
        <f t="shared" si="17"/>
        <v>97</v>
      </c>
      <c r="Z51">
        <f t="shared" si="12"/>
        <v>3167</v>
      </c>
      <c r="AA51" s="113">
        <f t="shared" si="13"/>
        <v>97.031670044000009</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32</v>
      </c>
      <c r="AD51" s="11"/>
      <c r="AE51" s="11"/>
      <c r="AF51">
        <f>IF(I51="","",IF(Q51="",0,IF(AND(Q51&gt;0,COUNTIF('Stats Calculator'!$T$24:$AA$24,Q51)=1),HLOOKUP(Q51,'Stats Calculator'!$T$24:$AA$27,4,FALSE),IF(AND(Q51&gt;0,COUNTIF('Stats Calculator'!$T$25:$AA$25,Q51)=1),HLOOKUP(Q51,'Stats Calculator'!$T$25:$AA$27,3,FALSE)))))</f>
        <v>7</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52</v>
      </c>
      <c r="C52" s="113">
        <f t="shared" si="8"/>
        <v>66.029990042999998</v>
      </c>
      <c r="D52">
        <f t="shared" si="19"/>
        <v>53</v>
      </c>
      <c r="E52" s="3" t="str">
        <f t="shared" si="9"/>
        <v>q</v>
      </c>
      <c r="F52">
        <f t="shared" si="10"/>
        <v>1</v>
      </c>
      <c r="G52">
        <v>43</v>
      </c>
      <c r="H52" t="str">
        <f>Data!A53</f>
        <v>TheZipZipMan</v>
      </c>
      <c r="I52" s="2" t="str">
        <f>Data!C53</f>
        <v>Eels</v>
      </c>
      <c r="J52" s="2" t="str">
        <f>Data!D53</f>
        <v>Sharks</v>
      </c>
      <c r="K52" s="2" t="str">
        <f>Data!E53</f>
        <v>Panthers</v>
      </c>
      <c r="L52" s="2" t="str">
        <f>IF(Data!$S$3&lt;Engine!L$1,0,Data!F53)</f>
        <v>Bulldogs</v>
      </c>
      <c r="M52" s="2" t="str">
        <f>IF(Data!$S$3&lt;Engine!M$1,0,Data!G53)</f>
        <v>Storm</v>
      </c>
      <c r="N52" s="2" t="str">
        <f>IF(Data!$S$3&lt;Engine!N$1,0,Data!H53)</f>
        <v>Cowboys</v>
      </c>
      <c r="O52" s="2" t="str">
        <f>IF(Data!$S$3&lt;Engine!O$1,0,Data!I53)</f>
        <v>Roosters</v>
      </c>
      <c r="P52" s="2" t="str">
        <f>IF(Data!$S$3&lt;Engine!P$1,0,Data!J53)</f>
        <v>Raiders</v>
      </c>
      <c r="Q52" s="12" t="str">
        <f>IF(Data!B53=1,Data!K53,"No Tips")</f>
        <v>Storm</v>
      </c>
      <c r="R52" s="2">
        <f>Data!L53</f>
        <v>66</v>
      </c>
      <c r="S52" s="2">
        <f>Data!M53</f>
        <v>2999</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Y52">
        <f t="shared" si="17"/>
        <v>66</v>
      </c>
      <c r="Z52">
        <f t="shared" si="12"/>
        <v>3015</v>
      </c>
      <c r="AA52" s="113">
        <f t="shared" si="13"/>
        <v>66.030150043000006</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AF52">
        <f>IF(I52="","",IF(Q52="",0,IF(AND(Q52&gt;0,COUNTIF('Stats Calculator'!$T$24:$AA$24,Q52)=1),HLOOKUP(Q52,'Stats Calculator'!$T$24:$AA$27,4,FALSE),IF(AND(Q52&gt;0,COUNTIF('Stats Calculator'!$T$25:$AA$25,Q52)=1),HLOOKUP(Q52,'Stats Calculator'!$T$25:$AA$27,3,FALSE)))))</f>
        <v>5</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
      <c r="A53">
        <v>52</v>
      </c>
      <c r="B53">
        <f t="shared" si="18"/>
        <v>51</v>
      </c>
      <c r="C53" s="113">
        <f t="shared" si="8"/>
        <v>67.029880042000002</v>
      </c>
      <c r="D53">
        <f t="shared" si="19"/>
        <v>51</v>
      </c>
      <c r="E53" s="3" t="str">
        <f t="shared" si="9"/>
        <v>u</v>
      </c>
      <c r="F53" t="str">
        <f t="shared" si="10"/>
        <v/>
      </c>
      <c r="G53">
        <v>42</v>
      </c>
      <c r="H53" t="str">
        <f>Data!A54</f>
        <v>Timbo</v>
      </c>
      <c r="I53" s="2" t="str">
        <f>Data!C54</f>
        <v>Eels</v>
      </c>
      <c r="J53" s="2" t="str">
        <f>Data!D54</f>
        <v>Sharks</v>
      </c>
      <c r="K53" s="2" t="str">
        <f>Data!E54</f>
        <v>Panthers</v>
      </c>
      <c r="L53" s="2" t="str">
        <f>IF(Data!$S$3&lt;Engine!L$1,0,Data!F54)</f>
        <v>Bulldogs</v>
      </c>
      <c r="M53" s="2" t="str">
        <f>IF(Data!$S$3&lt;Engine!M$1,0,Data!G54)</f>
        <v>Storm</v>
      </c>
      <c r="N53" s="2" t="str">
        <f>IF(Data!$S$3&lt;Engine!N$1,0,Data!H54)</f>
        <v>Sea Eagles</v>
      </c>
      <c r="O53" s="2" t="str">
        <f>IF(Data!$S$3&lt;Engine!O$1,0,Data!I54)</f>
        <v>Roosters</v>
      </c>
      <c r="P53" s="2" t="str">
        <f>IF(Data!$S$3&lt;Engine!P$1,0,Data!J54)</f>
        <v>Knights</v>
      </c>
      <c r="Q53" s="12" t="str">
        <f>IF(Data!B54=1,Data!K54,"No Tips")</f>
        <v>Roosters</v>
      </c>
      <c r="R53" s="2">
        <f>Data!L54</f>
        <v>67</v>
      </c>
      <c r="S53" s="2">
        <f>Data!M54</f>
        <v>2988</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Y53">
        <f t="shared" si="17"/>
        <v>67</v>
      </c>
      <c r="Z53">
        <f t="shared" si="12"/>
        <v>3004</v>
      </c>
      <c r="AA53" s="113">
        <f t="shared" si="13"/>
        <v>67.030040041999996</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
      <c r="A54">
        <v>53</v>
      </c>
      <c r="B54">
        <f t="shared" si="18"/>
        <v>3</v>
      </c>
      <c r="C54" s="113">
        <f t="shared" si="8"/>
        <v>94.032010041000007</v>
      </c>
      <c r="D54">
        <f t="shared" si="19"/>
        <v>3</v>
      </c>
      <c r="E54" s="3" t="str">
        <f t="shared" si="9"/>
        <v>u</v>
      </c>
      <c r="F54" t="str">
        <f t="shared" si="10"/>
        <v/>
      </c>
      <c r="G54">
        <v>41</v>
      </c>
      <c r="H54" t="str">
        <f>Data!A55</f>
        <v>UpthePamfers</v>
      </c>
      <c r="I54" s="2" t="str">
        <f>Data!C55</f>
        <v>Rabbitohs</v>
      </c>
      <c r="J54" s="2" t="str">
        <f>Data!D55</f>
        <v>Sharks</v>
      </c>
      <c r="K54" s="2" t="str">
        <f>Data!E55</f>
        <v>Panthers</v>
      </c>
      <c r="L54" s="2" t="str">
        <f>IF(Data!$S$3&lt;Engine!L$1,0,Data!F55)</f>
        <v>Warriors</v>
      </c>
      <c r="M54" s="2" t="str">
        <f>IF(Data!$S$3&lt;Engine!M$1,0,Data!G55)</f>
        <v>Storm</v>
      </c>
      <c r="N54" s="2" t="str">
        <f>IF(Data!$S$3&lt;Engine!N$1,0,Data!H55)</f>
        <v>Sea Eagles</v>
      </c>
      <c r="O54" s="2" t="str">
        <f>IF(Data!$S$3&lt;Engine!O$1,0,Data!I55)</f>
        <v>Roosters</v>
      </c>
      <c r="P54" s="2" t="str">
        <f>IF(Data!$S$3&lt;Engine!P$1,0,Data!J55)</f>
        <v>Knights</v>
      </c>
      <c r="Q54" s="12" t="str">
        <f>IF(Data!B55=1,Data!K55,"No Tips")</f>
        <v>Sharks</v>
      </c>
      <c r="R54" s="2">
        <f>Data!L55</f>
        <v>94</v>
      </c>
      <c r="S54" s="2">
        <f>Data!M55</f>
        <v>3201</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32</v>
      </c>
      <c r="Y54">
        <f t="shared" si="17"/>
        <v>95</v>
      </c>
      <c r="Z54">
        <f t="shared" si="12"/>
        <v>3233</v>
      </c>
      <c r="AA54" s="113">
        <f t="shared" si="13"/>
        <v>95.032330041000009</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32</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
      <c r="A55">
        <v>54</v>
      </c>
      <c r="B55">
        <f t="shared" si="18"/>
        <v>55</v>
      </c>
      <c r="C55" s="113">
        <f t="shared" si="8"/>
        <v>62.028410040000004</v>
      </c>
      <c r="D55">
        <f t="shared" si="19"/>
        <v>54</v>
      </c>
      <c r="E55" s="3" t="str">
        <f t="shared" si="9"/>
        <v>p</v>
      </c>
      <c r="F55">
        <f t="shared" si="10"/>
        <v>1</v>
      </c>
      <c r="G55">
        <v>40</v>
      </c>
      <c r="H55" t="str">
        <f>Data!A56</f>
        <v>Westy</v>
      </c>
      <c r="I55" s="2" t="str">
        <f>Data!C56</f>
        <v>Rabbitohs</v>
      </c>
      <c r="J55" s="2" t="str">
        <f>Data!D56</f>
        <v>Sharks</v>
      </c>
      <c r="K55" s="2" t="str">
        <f>Data!E56</f>
        <v>Panthers</v>
      </c>
      <c r="L55" s="2" t="str">
        <f>IF(Data!$S$3&lt;Engine!L$1,0,Data!F56)</f>
        <v>Bulldogs</v>
      </c>
      <c r="M55" s="2" t="str">
        <f>IF(Data!$S$3&lt;Engine!M$1,0,Data!G56)</f>
        <v>Storm</v>
      </c>
      <c r="N55" s="2" t="str">
        <f>IF(Data!$S$3&lt;Engine!N$1,0,Data!H56)</f>
        <v>Cowboys</v>
      </c>
      <c r="O55" s="2" t="str">
        <f>IF(Data!$S$3&lt;Engine!O$1,0,Data!I56)</f>
        <v>Dragons</v>
      </c>
      <c r="P55" s="2" t="str">
        <f>IF(Data!$S$3&lt;Engine!P$1,0,Data!J56)</f>
        <v>Raiders</v>
      </c>
      <c r="Q55" s="12" t="str">
        <f>IF(Data!B56=1,Data!K56,"No Tips")</f>
        <v>Storm</v>
      </c>
      <c r="R55" s="2">
        <f>Data!L56</f>
        <v>62</v>
      </c>
      <c r="S55" s="2">
        <f>Data!M56</f>
        <v>2841</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32</v>
      </c>
      <c r="Y55">
        <f t="shared" si="17"/>
        <v>63</v>
      </c>
      <c r="Z55">
        <f t="shared" si="12"/>
        <v>2873</v>
      </c>
      <c r="AA55" s="113">
        <f t="shared" si="13"/>
        <v>63.028730040000006</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32</v>
      </c>
      <c r="AF55">
        <f>IF(I55="","",IF(Q55="",0,IF(AND(Q55&gt;0,COUNTIF('Stats Calculator'!$T$24:$AA$24,Q55)=1),HLOOKUP(Q55,'Stats Calculator'!$T$24:$AA$27,4,FALSE),IF(AND(Q55&gt;0,COUNTIF('Stats Calculator'!$T$25:$AA$25,Q55)=1),HLOOKUP(Q55,'Stats Calculator'!$T$25:$AA$27,3,FALSE)))))</f>
        <v>5</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36</v>
      </c>
      <c r="C56" s="113">
        <f t="shared" si="8"/>
        <v>76.030850039000001</v>
      </c>
      <c r="D56">
        <f t="shared" si="19"/>
        <v>35</v>
      </c>
      <c r="E56" s="3" t="str">
        <f t="shared" si="9"/>
        <v>p</v>
      </c>
      <c r="F56">
        <f t="shared" si="10"/>
        <v>1</v>
      </c>
      <c r="G56">
        <v>39</v>
      </c>
      <c r="H56" t="str">
        <f>Data!A57</f>
        <v>Wiley C</v>
      </c>
      <c r="I56" s="2" t="str">
        <f>Data!C57</f>
        <v>Rabbitohs</v>
      </c>
      <c r="J56" s="2" t="str">
        <f>Data!D57</f>
        <v>Sharks</v>
      </c>
      <c r="K56" s="2" t="str">
        <f>Data!E57</f>
        <v>Panthers</v>
      </c>
      <c r="L56" s="2" t="str">
        <f>IF(Data!$S$3&lt;Engine!L$1,0,Data!F57)</f>
        <v>Bulldogs</v>
      </c>
      <c r="M56" s="2" t="str">
        <f>IF(Data!$S$3&lt;Engine!M$1,0,Data!G57)</f>
        <v>Storm</v>
      </c>
      <c r="N56" s="2" t="str">
        <f>IF(Data!$S$3&lt;Engine!N$1,0,Data!H57)</f>
        <v>Sea Eagles</v>
      </c>
      <c r="O56" s="2" t="str">
        <f>IF(Data!$S$3&lt;Engine!O$1,0,Data!I57)</f>
        <v>Roosters</v>
      </c>
      <c r="P56" s="2" t="str">
        <f>IF(Data!$S$3&lt;Engine!P$1,0,Data!J57)</f>
        <v>Raiders</v>
      </c>
      <c r="Q56" s="12" t="str">
        <f>IF(Data!B57=1,Data!K57,"No Tips")</f>
        <v>Storm</v>
      </c>
      <c r="R56" s="2">
        <f>Data!L57</f>
        <v>76</v>
      </c>
      <c r="S56" s="2">
        <f>Data!M57</f>
        <v>3085</v>
      </c>
      <c r="T56" s="1">
        <f>IF(I56="","",COUNTIF('Live Ladder'!P:P,I56)+COUNTIF('Live Ladder'!P:P,J56)+COUNTIF('Live Ladder'!P:P,K56)+COUNTIF('Live Ladder'!P:P,L56)+COUNTIF('Live Ladder'!P:P,M56)+COUNTIF('Live Ladder'!P:P,N56)+COUNTIF('Live Ladder'!P:P,O56)+COUNTIF('Live Ladder'!P:P,P56))</f>
        <v>1</v>
      </c>
      <c r="U56" s="1">
        <f>IF(I56="","",IF(COUNTIF('Live Ladder'!P:P,Engine!Q56)=1,2,IF(COUNTIF('Live Ladder'!Q:Q,Engine!Q56)=1,-2,0)))</f>
        <v>0</v>
      </c>
      <c r="V56" s="1">
        <f>IF(I56="","",IF(T56=Data!S$3,2,0))</f>
        <v>0</v>
      </c>
      <c r="W56" s="1">
        <f t="shared" si="11"/>
        <v>1</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32</v>
      </c>
      <c r="Y56">
        <f t="shared" si="17"/>
        <v>77</v>
      </c>
      <c r="Z56">
        <f t="shared" si="12"/>
        <v>3117</v>
      </c>
      <c r="AA56" s="113">
        <f t="shared" si="13"/>
        <v>77.031170039000003</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32</v>
      </c>
      <c r="AF56">
        <f>IF(I56="","",IF(Q56="",0,IF(AND(Q56&gt;0,COUNTIF('Stats Calculator'!$T$24:$AA$24,Q56)=1),HLOOKUP(Q56,'Stats Calculator'!$T$24:$AA$27,4,FALSE),IF(AND(Q56&gt;0,COUNTIF('Stats Calculator'!$T$25:$AA$25,Q56)=1),HLOOKUP(Q56,'Stats Calculator'!$T$25:$AA$27,3,FALSE)))))</f>
        <v>5</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19</v>
      </c>
      <c r="C57" s="113">
        <f t="shared" si="8"/>
        <v>84.031280037999991</v>
      </c>
      <c r="D57">
        <f t="shared" si="19"/>
        <v>26</v>
      </c>
      <c r="E57" s="3" t="str">
        <f t="shared" si="9"/>
        <v>q</v>
      </c>
      <c r="F57">
        <f t="shared" si="10"/>
        <v>7</v>
      </c>
      <c r="G57">
        <v>38</v>
      </c>
      <c r="H57" t="str">
        <f>Data!A58</f>
        <v>Yackas</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2" t="str">
        <f>IF(Data!B58=1,Data!K58,"No Tips")</f>
        <v>No Tips</v>
      </c>
      <c r="R57" s="2">
        <f>Data!L58</f>
        <v>84</v>
      </c>
      <c r="S57" s="2">
        <f>Data!M58</f>
        <v>3128</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16</v>
      </c>
      <c r="Y57">
        <f t="shared" si="17"/>
        <v>82</v>
      </c>
      <c r="Z57">
        <f t="shared" si="12"/>
        <v>3144</v>
      </c>
      <c r="AA57" s="113">
        <f t="shared" si="13"/>
        <v>82.031440038</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
      <c r="A58">
        <v>57</v>
      </c>
      <c r="B58">
        <f t="shared" si="18"/>
        <v>17</v>
      </c>
      <c r="C58" s="113">
        <f t="shared" si="8"/>
        <v>85.031060037000003</v>
      </c>
      <c r="D58">
        <f t="shared" si="19"/>
        <v>17</v>
      </c>
      <c r="E58" s="3" t="str">
        <f t="shared" si="9"/>
        <v>u</v>
      </c>
      <c r="F58" t="str">
        <f t="shared" si="10"/>
        <v/>
      </c>
      <c r="G58">
        <v>37</v>
      </c>
      <c r="H58" t="str">
        <f>Data!A59</f>
        <v>Neville</v>
      </c>
      <c r="I58" s="2" t="str">
        <f>Data!C59</f>
        <v>Rabbitohs</v>
      </c>
      <c r="J58" s="2" t="str">
        <f>Data!D59</f>
        <v>Sharks</v>
      </c>
      <c r="K58" s="2" t="str">
        <f>Data!E59</f>
        <v>Broncos</v>
      </c>
      <c r="L58" s="2" t="str">
        <f>IF(Data!$S$3&lt;Engine!L$1,0,Data!F59)</f>
        <v>Bulldogs</v>
      </c>
      <c r="M58" s="2" t="str">
        <f>IF(Data!$S$3&lt;Engine!M$1,0,Data!G59)</f>
        <v>Storm</v>
      </c>
      <c r="N58" s="2" t="str">
        <f>IF(Data!$S$3&lt;Engine!N$1,0,Data!H59)</f>
        <v>Cowboys</v>
      </c>
      <c r="O58" s="2" t="str">
        <f>IF(Data!$S$3&lt;Engine!O$1,0,Data!I59)</f>
        <v>Roosters</v>
      </c>
      <c r="P58" s="2" t="str">
        <f>IF(Data!$S$3&lt;Engine!P$1,0,Data!J59)</f>
        <v>Raiders</v>
      </c>
      <c r="Q58" s="12" t="str">
        <f>IF(Data!B59=1,Data!K59,"No Tips")</f>
        <v>Storm</v>
      </c>
      <c r="R58" s="2">
        <f>Data!L59</f>
        <v>85</v>
      </c>
      <c r="S58" s="2">
        <f>Data!M59</f>
        <v>3106</v>
      </c>
      <c r="T58" s="1">
        <f>IF(I58="","",COUNTIF('Live Ladder'!P:P,I58)+COUNTIF('Live Ladder'!P:P,J58)+COUNTIF('Live Ladder'!P:P,K58)+COUNTIF('Live Ladder'!P:P,L58)+COUNTIF('Live Ladder'!P:P,M58)+COUNTIF('Live Ladder'!P:P,N58)+COUNTIF('Live Ladder'!P:P,O58)+COUNTIF('Live Ladder'!P:P,P58))</f>
        <v>1</v>
      </c>
      <c r="U58" s="1">
        <f>IF(I58="","",IF(COUNTIF('Live Ladder'!P:P,Engine!Q58)=1,2,IF(COUNTIF('Live Ladder'!Q:Q,Engine!Q58)=1,-2,0)))</f>
        <v>0</v>
      </c>
      <c r="V58" s="1">
        <f>IF(I58="","",IF(T58=Data!S$3,2,0))</f>
        <v>0</v>
      </c>
      <c r="W58" s="1">
        <f t="shared" si="11"/>
        <v>1</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32</v>
      </c>
      <c r="Y58">
        <f t="shared" si="17"/>
        <v>86</v>
      </c>
      <c r="Z58">
        <f t="shared" si="12"/>
        <v>3138</v>
      </c>
      <c r="AA58" s="113">
        <f t="shared" si="13"/>
        <v>86.031380037000005</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32</v>
      </c>
      <c r="AF58">
        <f>IF(I58="","",IF(Q58="",0,IF(AND(Q58&gt;0,COUNTIF('Stats Calculator'!$T$24:$AA$24,Q58)=1),HLOOKUP(Q58,'Stats Calculator'!$T$24:$AA$27,4,FALSE),IF(AND(Q58&gt;0,COUNTIF('Stats Calculator'!$T$25:$AA$25,Q58)=1),HLOOKUP(Q58,'Stats Calculator'!$T$25:$AA$27,3,FALSE)))))</f>
        <v>5</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16</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16</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16</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16</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16</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16</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16</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16</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16</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16</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16</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16</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16</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16</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16</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16</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16</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16</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16</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16</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16</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44</v>
      </c>
      <c r="C95" s="113">
        <f t="shared" si="22"/>
        <v>74.029140998999992</v>
      </c>
      <c r="D95">
        <f>RANK(AA95,AA:AA)</f>
        <v>45</v>
      </c>
      <c r="E95" s="3" t="str">
        <f>IF(H95="ZZZZZZ Suspend","",IF(D95&lt;B95,AD$3,IF(D95&gt;B95,AD$4,AD$5)))</f>
        <v>q</v>
      </c>
      <c r="F95">
        <f>IF(D95&gt;B95,D95-B95,IF(D95&lt;B95,B95-D95,""))</f>
        <v>1</v>
      </c>
      <c r="G95">
        <v>999</v>
      </c>
      <c r="H95" t="str">
        <f>Data!A96</f>
        <v>***Footy Tipper***</v>
      </c>
      <c r="I95" s="2" t="str">
        <f>Data!C96</f>
        <v>Eels</v>
      </c>
      <c r="J95" s="2" t="str">
        <f>Data!D96</f>
        <v>Sharks</v>
      </c>
      <c r="K95" s="2" t="str">
        <f>Data!E96</f>
        <v>Panthers</v>
      </c>
      <c r="L95" s="2" t="str">
        <f>IF(Data!$S$3&lt;Engine!L$1,0,Data!F96)</f>
        <v>Bulldogs</v>
      </c>
      <c r="M95" s="2" t="str">
        <f>IF(Data!$S$3&lt;Engine!M$1,0,Data!G96)</f>
        <v>Storm</v>
      </c>
      <c r="N95" s="2" t="str">
        <f>IF(Data!$S$3&lt;Engine!N$1,0,Data!H96)</f>
        <v>Cowboys</v>
      </c>
      <c r="O95" s="2" t="str">
        <f>IF(Data!$S$3&lt;Engine!O$1,0,Data!I96)</f>
        <v>Roosters</v>
      </c>
      <c r="P95" s="2" t="str">
        <f>IF(Data!$S$3&lt;Engine!P$1,0,Data!J96)</f>
        <v>Raiders</v>
      </c>
      <c r="Q95" s="2" t="str">
        <f>Data!K96</f>
        <v>Storm</v>
      </c>
      <c r="R95" s="2">
        <f>Data!L96</f>
        <v>74</v>
      </c>
      <c r="S95" s="2">
        <f>Data!M96</f>
        <v>2914</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16</v>
      </c>
      <c r="Y95">
        <f>R95+SUM(T95:V95)</f>
        <v>74</v>
      </c>
      <c r="Z95">
        <f>S95+X95</f>
        <v>2930</v>
      </c>
      <c r="AA95" s="113">
        <f t="shared" si="27"/>
        <v>74.029300999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16</v>
      </c>
      <c r="AF95">
        <f>IF(I95="","",IF(Q95="",0,IF(AND(Q95&gt;0,COUNTIF('Stats Calculator'!$T$24:$AA$24,Q95)=1),HLOOKUP(Q95,'Stats Calculator'!$T$24:$AA$27,4,FALSE),IF(AND(Q95&gt;0,COUNTIF('Stats Calculator'!$T$25:$AA$25,Q95)=1),HLOOKUP(Q95,'Stats Calculator'!$T$25:$AA$27,3,FALSE)))))</f>
        <v>5</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128</v>
      </c>
      <c r="D3" t="s">
        <v>124</v>
      </c>
      <c r="E3" t="s">
        <v>122</v>
      </c>
      <c r="F3" t="s">
        <v>132</v>
      </c>
      <c r="G3" t="s">
        <v>126</v>
      </c>
      <c r="H3" t="s">
        <v>129</v>
      </c>
      <c r="I3" t="s">
        <v>148</v>
      </c>
      <c r="J3" t="s">
        <v>152</v>
      </c>
      <c r="K3" t="s">
        <v>148</v>
      </c>
      <c r="L3">
        <v>75</v>
      </c>
      <c r="M3">
        <v>3097</v>
      </c>
      <c r="N3" t="s">
        <v>153</v>
      </c>
      <c r="O3" t="s">
        <v>147</v>
      </c>
      <c r="P3" t="s">
        <v>128</v>
      </c>
      <c r="Q3" t="s">
        <v>154</v>
      </c>
      <c r="R3">
        <v>18</v>
      </c>
      <c r="S3">
        <v>8</v>
      </c>
    </row>
    <row r="4" spans="1:19" x14ac:dyDescent="0.3">
      <c r="A4" t="s">
        <v>155</v>
      </c>
      <c r="B4">
        <v>1</v>
      </c>
      <c r="C4" t="s">
        <v>128</v>
      </c>
      <c r="D4" t="s">
        <v>156</v>
      </c>
      <c r="E4" t="s">
        <v>122</v>
      </c>
      <c r="F4" t="s">
        <v>132</v>
      </c>
      <c r="G4" t="s">
        <v>126</v>
      </c>
      <c r="H4" t="s">
        <v>127</v>
      </c>
      <c r="I4" t="s">
        <v>148</v>
      </c>
      <c r="J4" t="s">
        <v>152</v>
      </c>
      <c r="K4" t="s">
        <v>126</v>
      </c>
      <c r="L4">
        <v>81</v>
      </c>
      <c r="M4">
        <v>3155</v>
      </c>
      <c r="N4" t="s">
        <v>157</v>
      </c>
      <c r="O4" t="s">
        <v>124</v>
      </c>
      <c r="P4" t="s">
        <v>156</v>
      </c>
      <c r="Q4" t="s">
        <v>158</v>
      </c>
    </row>
    <row r="5" spans="1:19" x14ac:dyDescent="0.3">
      <c r="A5" t="s">
        <v>159</v>
      </c>
      <c r="B5">
        <v>1</v>
      </c>
      <c r="C5" t="s">
        <v>128</v>
      </c>
      <c r="D5" t="s">
        <v>124</v>
      </c>
      <c r="E5" t="s">
        <v>122</v>
      </c>
      <c r="F5" t="s">
        <v>131</v>
      </c>
      <c r="G5" t="s">
        <v>126</v>
      </c>
      <c r="H5" t="s">
        <v>127</v>
      </c>
      <c r="I5" t="s">
        <v>148</v>
      </c>
      <c r="J5" t="s">
        <v>130</v>
      </c>
      <c r="K5" t="s">
        <v>128</v>
      </c>
      <c r="L5">
        <v>87</v>
      </c>
      <c r="M5">
        <v>3153</v>
      </c>
      <c r="N5" t="s">
        <v>160</v>
      </c>
      <c r="O5" t="s">
        <v>125</v>
      </c>
      <c r="P5" t="s">
        <v>122</v>
      </c>
      <c r="Q5" t="s">
        <v>161</v>
      </c>
      <c r="R5" t="s">
        <v>162</v>
      </c>
      <c r="S5">
        <v>57</v>
      </c>
    </row>
    <row r="6" spans="1:19" x14ac:dyDescent="0.3">
      <c r="A6" t="s">
        <v>163</v>
      </c>
      <c r="B6">
        <v>1</v>
      </c>
      <c r="C6" t="s">
        <v>128</v>
      </c>
      <c r="D6" t="s">
        <v>124</v>
      </c>
      <c r="E6" t="s">
        <v>122</v>
      </c>
      <c r="F6" t="s">
        <v>132</v>
      </c>
      <c r="G6" t="s">
        <v>126</v>
      </c>
      <c r="H6" t="s">
        <v>127</v>
      </c>
      <c r="I6" t="s">
        <v>148</v>
      </c>
      <c r="J6" t="s">
        <v>130</v>
      </c>
      <c r="K6" t="s">
        <v>126</v>
      </c>
      <c r="L6">
        <v>87</v>
      </c>
      <c r="M6">
        <v>3164</v>
      </c>
      <c r="N6" t="s">
        <v>164</v>
      </c>
      <c r="O6" t="s">
        <v>132</v>
      </c>
      <c r="P6" t="s">
        <v>131</v>
      </c>
      <c r="Q6" t="s">
        <v>165</v>
      </c>
      <c r="R6" t="s">
        <v>106</v>
      </c>
      <c r="S6">
        <v>54</v>
      </c>
    </row>
    <row r="7" spans="1:19" x14ac:dyDescent="0.3">
      <c r="A7" t="s">
        <v>166</v>
      </c>
      <c r="B7">
        <v>1</v>
      </c>
      <c r="C7" t="s">
        <v>128</v>
      </c>
      <c r="D7" t="s">
        <v>124</v>
      </c>
      <c r="E7" t="s">
        <v>125</v>
      </c>
      <c r="F7" t="s">
        <v>132</v>
      </c>
      <c r="G7" t="s">
        <v>126</v>
      </c>
      <c r="H7" t="s">
        <v>129</v>
      </c>
      <c r="I7" t="s">
        <v>148</v>
      </c>
      <c r="J7" t="s">
        <v>152</v>
      </c>
      <c r="K7" t="s">
        <v>148</v>
      </c>
      <c r="L7">
        <v>83</v>
      </c>
      <c r="M7">
        <v>3065</v>
      </c>
      <c r="N7" t="s">
        <v>167</v>
      </c>
      <c r="O7" t="s">
        <v>133</v>
      </c>
      <c r="P7" t="s">
        <v>126</v>
      </c>
      <c r="Q7" t="s">
        <v>168</v>
      </c>
      <c r="R7" t="s">
        <v>48</v>
      </c>
      <c r="S7">
        <v>54</v>
      </c>
    </row>
    <row r="8" spans="1:19" x14ac:dyDescent="0.3">
      <c r="A8" t="s">
        <v>169</v>
      </c>
      <c r="B8">
        <v>1</v>
      </c>
      <c r="C8" t="s">
        <v>128</v>
      </c>
      <c r="D8" t="s">
        <v>124</v>
      </c>
      <c r="E8" t="s">
        <v>122</v>
      </c>
      <c r="F8" t="s">
        <v>132</v>
      </c>
      <c r="G8" t="s">
        <v>126</v>
      </c>
      <c r="H8" t="s">
        <v>127</v>
      </c>
      <c r="I8" t="s">
        <v>148</v>
      </c>
      <c r="J8" t="s">
        <v>152</v>
      </c>
      <c r="K8" t="s">
        <v>126</v>
      </c>
      <c r="L8">
        <v>83</v>
      </c>
      <c r="M8">
        <v>3060</v>
      </c>
      <c r="N8" t="s">
        <v>170</v>
      </c>
      <c r="O8" t="s">
        <v>129</v>
      </c>
      <c r="P8" t="s">
        <v>127</v>
      </c>
      <c r="Q8" t="s">
        <v>171</v>
      </c>
    </row>
    <row r="9" spans="1:19" x14ac:dyDescent="0.3">
      <c r="A9" t="s">
        <v>172</v>
      </c>
      <c r="B9">
        <v>1</v>
      </c>
      <c r="C9" t="s">
        <v>128</v>
      </c>
      <c r="D9" t="s">
        <v>124</v>
      </c>
      <c r="E9" t="s">
        <v>122</v>
      </c>
      <c r="F9" t="s">
        <v>132</v>
      </c>
      <c r="G9" t="s">
        <v>126</v>
      </c>
      <c r="H9" t="s">
        <v>127</v>
      </c>
      <c r="I9" t="s">
        <v>148</v>
      </c>
      <c r="J9" t="s">
        <v>130</v>
      </c>
      <c r="K9" t="s">
        <v>126</v>
      </c>
      <c r="L9">
        <v>85</v>
      </c>
      <c r="M9">
        <v>3142</v>
      </c>
      <c r="N9" t="s">
        <v>173</v>
      </c>
      <c r="O9" t="s">
        <v>148</v>
      </c>
      <c r="P9" t="s">
        <v>123</v>
      </c>
      <c r="Q9" t="s">
        <v>174</v>
      </c>
    </row>
    <row r="10" spans="1:19" x14ac:dyDescent="0.3">
      <c r="A10" t="s">
        <v>175</v>
      </c>
      <c r="B10">
        <v>1</v>
      </c>
      <c r="C10" t="s">
        <v>147</v>
      </c>
      <c r="D10" t="s">
        <v>124</v>
      </c>
      <c r="E10" t="s">
        <v>125</v>
      </c>
      <c r="F10" t="s">
        <v>132</v>
      </c>
      <c r="G10" t="s">
        <v>126</v>
      </c>
      <c r="H10" t="s">
        <v>127</v>
      </c>
      <c r="I10" t="s">
        <v>123</v>
      </c>
      <c r="J10" t="s">
        <v>152</v>
      </c>
      <c r="K10" t="s">
        <v>126</v>
      </c>
      <c r="L10">
        <v>83</v>
      </c>
      <c r="M10">
        <v>3113</v>
      </c>
      <c r="N10" t="s">
        <v>176</v>
      </c>
      <c r="O10" t="s">
        <v>130</v>
      </c>
      <c r="P10" t="s">
        <v>152</v>
      </c>
      <c r="Q10" t="s">
        <v>177</v>
      </c>
    </row>
    <row r="11" spans="1:19" x14ac:dyDescent="0.3">
      <c r="A11" t="s">
        <v>178</v>
      </c>
      <c r="B11">
        <v>1</v>
      </c>
      <c r="C11" t="s">
        <v>128</v>
      </c>
      <c r="D11" t="s">
        <v>124</v>
      </c>
      <c r="E11" t="s">
        <v>122</v>
      </c>
      <c r="F11" t="s">
        <v>132</v>
      </c>
      <c r="G11" t="s">
        <v>126</v>
      </c>
      <c r="H11" t="s">
        <v>129</v>
      </c>
      <c r="I11" t="s">
        <v>148</v>
      </c>
      <c r="J11" t="s">
        <v>152</v>
      </c>
      <c r="K11" t="s">
        <v>126</v>
      </c>
      <c r="L11">
        <v>76</v>
      </c>
      <c r="M11">
        <v>2958</v>
      </c>
    </row>
    <row r="12" spans="1:19" x14ac:dyDescent="0.3">
      <c r="A12" t="s">
        <v>179</v>
      </c>
      <c r="B12">
        <v>1</v>
      </c>
      <c r="C12" t="s">
        <v>128</v>
      </c>
      <c r="D12" t="s">
        <v>124</v>
      </c>
      <c r="E12" t="s">
        <v>122</v>
      </c>
      <c r="F12" t="s">
        <v>132</v>
      </c>
      <c r="G12" t="s">
        <v>126</v>
      </c>
      <c r="H12" t="s">
        <v>129</v>
      </c>
      <c r="I12" t="s">
        <v>148</v>
      </c>
      <c r="J12" t="s">
        <v>152</v>
      </c>
      <c r="K12" t="s">
        <v>126</v>
      </c>
      <c r="L12">
        <v>87</v>
      </c>
      <c r="M12">
        <v>3104</v>
      </c>
    </row>
    <row r="13" spans="1:19" x14ac:dyDescent="0.3">
      <c r="A13" t="s">
        <v>180</v>
      </c>
      <c r="B13">
        <v>1</v>
      </c>
      <c r="C13" t="s">
        <v>128</v>
      </c>
      <c r="D13" t="s">
        <v>124</v>
      </c>
      <c r="E13" t="s">
        <v>122</v>
      </c>
      <c r="F13" t="s">
        <v>132</v>
      </c>
      <c r="G13" t="s">
        <v>126</v>
      </c>
      <c r="H13" t="s">
        <v>127</v>
      </c>
      <c r="I13" t="s">
        <v>123</v>
      </c>
      <c r="J13" t="s">
        <v>152</v>
      </c>
      <c r="K13" t="s">
        <v>126</v>
      </c>
      <c r="L13">
        <v>90</v>
      </c>
      <c r="M13">
        <v>3148</v>
      </c>
    </row>
    <row r="14" spans="1:19" x14ac:dyDescent="0.3">
      <c r="A14" t="s">
        <v>181</v>
      </c>
      <c r="B14">
        <v>1</v>
      </c>
      <c r="C14" t="s">
        <v>128</v>
      </c>
      <c r="D14" t="s">
        <v>124</v>
      </c>
      <c r="E14" t="s">
        <v>125</v>
      </c>
      <c r="F14" t="s">
        <v>132</v>
      </c>
      <c r="G14" t="s">
        <v>126</v>
      </c>
      <c r="H14" t="s">
        <v>129</v>
      </c>
      <c r="I14" t="s">
        <v>148</v>
      </c>
      <c r="J14" t="s">
        <v>152</v>
      </c>
      <c r="K14" t="s">
        <v>126</v>
      </c>
      <c r="L14">
        <v>68</v>
      </c>
      <c r="M14">
        <v>2928</v>
      </c>
    </row>
    <row r="15" spans="1:19" x14ac:dyDescent="0.3">
      <c r="A15" t="s">
        <v>182</v>
      </c>
      <c r="B15">
        <v>1</v>
      </c>
      <c r="C15" t="s">
        <v>147</v>
      </c>
      <c r="D15" t="s">
        <v>156</v>
      </c>
      <c r="E15" t="s">
        <v>122</v>
      </c>
      <c r="F15" t="s">
        <v>132</v>
      </c>
      <c r="G15" t="s">
        <v>126</v>
      </c>
      <c r="H15" t="s">
        <v>129</v>
      </c>
      <c r="I15" t="s">
        <v>123</v>
      </c>
      <c r="J15" t="s">
        <v>152</v>
      </c>
      <c r="K15" t="s">
        <v>129</v>
      </c>
      <c r="L15">
        <v>59</v>
      </c>
      <c r="M15">
        <v>2927</v>
      </c>
    </row>
    <row r="16" spans="1:19" x14ac:dyDescent="0.3">
      <c r="A16" t="s">
        <v>183</v>
      </c>
      <c r="B16">
        <v>1</v>
      </c>
      <c r="C16" t="s">
        <v>128</v>
      </c>
      <c r="D16" t="s">
        <v>124</v>
      </c>
      <c r="E16" t="s">
        <v>122</v>
      </c>
      <c r="F16" t="s">
        <v>132</v>
      </c>
      <c r="G16" t="s">
        <v>126</v>
      </c>
      <c r="H16" t="s">
        <v>129</v>
      </c>
      <c r="I16" t="s">
        <v>148</v>
      </c>
      <c r="J16" t="s">
        <v>130</v>
      </c>
      <c r="K16" t="s">
        <v>126</v>
      </c>
      <c r="L16">
        <v>81</v>
      </c>
      <c r="M16">
        <v>2978</v>
      </c>
    </row>
    <row r="17" spans="1:13" x14ac:dyDescent="0.3">
      <c r="A17" t="s">
        <v>184</v>
      </c>
      <c r="B17">
        <v>1</v>
      </c>
      <c r="C17" t="s">
        <v>128</v>
      </c>
      <c r="D17" t="s">
        <v>124</v>
      </c>
      <c r="E17" t="s">
        <v>122</v>
      </c>
      <c r="F17" t="s">
        <v>132</v>
      </c>
      <c r="G17" t="s">
        <v>126</v>
      </c>
      <c r="H17" t="s">
        <v>129</v>
      </c>
      <c r="I17" t="s">
        <v>123</v>
      </c>
      <c r="J17" t="s">
        <v>152</v>
      </c>
      <c r="K17" t="s">
        <v>132</v>
      </c>
      <c r="L17">
        <v>65</v>
      </c>
      <c r="M17">
        <v>3076</v>
      </c>
    </row>
    <row r="18" spans="1:13" x14ac:dyDescent="0.3">
      <c r="A18" t="s">
        <v>185</v>
      </c>
      <c r="B18">
        <v>0</v>
      </c>
      <c r="C18" t="s">
        <v>84</v>
      </c>
      <c r="D18" t="s">
        <v>84</v>
      </c>
      <c r="E18" t="s">
        <v>84</v>
      </c>
      <c r="F18" t="s">
        <v>84</v>
      </c>
      <c r="G18" t="s">
        <v>84</v>
      </c>
      <c r="H18" t="s">
        <v>84</v>
      </c>
      <c r="I18" t="s">
        <v>84</v>
      </c>
      <c r="J18" t="s">
        <v>84</v>
      </c>
      <c r="K18" t="s">
        <v>84</v>
      </c>
      <c r="L18">
        <v>63</v>
      </c>
      <c r="M18">
        <v>2833</v>
      </c>
    </row>
    <row r="19" spans="1:13" x14ac:dyDescent="0.3">
      <c r="A19" t="s">
        <v>186</v>
      </c>
      <c r="B19">
        <v>1</v>
      </c>
      <c r="C19" t="s">
        <v>128</v>
      </c>
      <c r="D19" t="s">
        <v>124</v>
      </c>
      <c r="E19" t="s">
        <v>122</v>
      </c>
      <c r="F19" t="s">
        <v>132</v>
      </c>
      <c r="G19" t="s">
        <v>126</v>
      </c>
      <c r="H19" t="s">
        <v>127</v>
      </c>
      <c r="I19" t="s">
        <v>148</v>
      </c>
      <c r="J19" t="s">
        <v>152</v>
      </c>
      <c r="K19" t="s">
        <v>126</v>
      </c>
      <c r="L19">
        <v>72</v>
      </c>
      <c r="M19">
        <v>3025</v>
      </c>
    </row>
    <row r="20" spans="1:13" x14ac:dyDescent="0.3">
      <c r="A20" t="s">
        <v>187</v>
      </c>
      <c r="B20">
        <v>1</v>
      </c>
      <c r="C20" t="s">
        <v>128</v>
      </c>
      <c r="D20" t="s">
        <v>124</v>
      </c>
      <c r="E20" t="s">
        <v>122</v>
      </c>
      <c r="F20" t="s">
        <v>131</v>
      </c>
      <c r="G20" t="s">
        <v>126</v>
      </c>
      <c r="H20" t="s">
        <v>129</v>
      </c>
      <c r="I20" t="s">
        <v>148</v>
      </c>
      <c r="J20" t="s">
        <v>130</v>
      </c>
      <c r="K20" t="s">
        <v>129</v>
      </c>
      <c r="L20">
        <v>80</v>
      </c>
      <c r="M20">
        <v>2982</v>
      </c>
    </row>
    <row r="21" spans="1:13" x14ac:dyDescent="0.3">
      <c r="A21" t="s">
        <v>188</v>
      </c>
      <c r="B21">
        <v>1</v>
      </c>
      <c r="C21" t="s">
        <v>128</v>
      </c>
      <c r="D21" t="s">
        <v>124</v>
      </c>
      <c r="E21" t="s">
        <v>122</v>
      </c>
      <c r="F21" t="s">
        <v>132</v>
      </c>
      <c r="G21" t="s">
        <v>126</v>
      </c>
      <c r="H21" t="s">
        <v>127</v>
      </c>
      <c r="I21" t="s">
        <v>148</v>
      </c>
      <c r="J21" t="s">
        <v>152</v>
      </c>
      <c r="K21" t="s">
        <v>126</v>
      </c>
      <c r="L21">
        <v>98</v>
      </c>
      <c r="M21">
        <v>3212</v>
      </c>
    </row>
    <row r="22" spans="1:13" x14ac:dyDescent="0.3">
      <c r="A22" t="s">
        <v>189</v>
      </c>
      <c r="B22">
        <v>1</v>
      </c>
      <c r="C22" t="s">
        <v>128</v>
      </c>
      <c r="D22" t="s">
        <v>124</v>
      </c>
      <c r="E22" t="s">
        <v>122</v>
      </c>
      <c r="F22" t="s">
        <v>132</v>
      </c>
      <c r="G22" t="s">
        <v>126</v>
      </c>
      <c r="H22" t="s">
        <v>129</v>
      </c>
      <c r="I22" t="s">
        <v>148</v>
      </c>
      <c r="J22" t="s">
        <v>130</v>
      </c>
      <c r="K22" t="s">
        <v>126</v>
      </c>
      <c r="L22">
        <v>79</v>
      </c>
      <c r="M22">
        <v>3036</v>
      </c>
    </row>
    <row r="23" spans="1:13" x14ac:dyDescent="0.3">
      <c r="A23" t="s">
        <v>190</v>
      </c>
      <c r="B23">
        <v>1</v>
      </c>
      <c r="C23" t="s">
        <v>147</v>
      </c>
      <c r="D23" t="s">
        <v>124</v>
      </c>
      <c r="E23" t="s">
        <v>125</v>
      </c>
      <c r="F23" t="s">
        <v>132</v>
      </c>
      <c r="G23" t="s">
        <v>126</v>
      </c>
      <c r="H23" t="s">
        <v>129</v>
      </c>
      <c r="I23" t="s">
        <v>148</v>
      </c>
      <c r="J23" t="s">
        <v>152</v>
      </c>
      <c r="K23" t="s">
        <v>148</v>
      </c>
      <c r="L23">
        <v>89</v>
      </c>
      <c r="M23">
        <v>3095</v>
      </c>
    </row>
    <row r="24" spans="1:13" x14ac:dyDescent="0.3">
      <c r="A24" t="s">
        <v>191</v>
      </c>
      <c r="B24">
        <v>1</v>
      </c>
      <c r="C24" t="s">
        <v>128</v>
      </c>
      <c r="D24" t="s">
        <v>124</v>
      </c>
      <c r="E24" t="s">
        <v>125</v>
      </c>
      <c r="F24" t="s">
        <v>132</v>
      </c>
      <c r="G24" t="s">
        <v>126</v>
      </c>
      <c r="H24" t="s">
        <v>129</v>
      </c>
      <c r="I24" t="s">
        <v>123</v>
      </c>
      <c r="J24" t="s">
        <v>152</v>
      </c>
      <c r="K24" t="s">
        <v>128</v>
      </c>
      <c r="L24">
        <v>48</v>
      </c>
      <c r="M24">
        <v>2736</v>
      </c>
    </row>
    <row r="25" spans="1:13" x14ac:dyDescent="0.3">
      <c r="A25" t="s">
        <v>192</v>
      </c>
      <c r="B25">
        <v>1</v>
      </c>
      <c r="C25" t="s">
        <v>128</v>
      </c>
      <c r="D25" t="s">
        <v>124</v>
      </c>
      <c r="E25" t="s">
        <v>122</v>
      </c>
      <c r="F25" t="s">
        <v>132</v>
      </c>
      <c r="G25" t="s">
        <v>126</v>
      </c>
      <c r="H25" t="s">
        <v>127</v>
      </c>
      <c r="I25" t="s">
        <v>148</v>
      </c>
      <c r="J25" t="s">
        <v>130</v>
      </c>
      <c r="K25" t="s">
        <v>126</v>
      </c>
      <c r="L25">
        <v>80</v>
      </c>
      <c r="M25">
        <v>3139</v>
      </c>
    </row>
    <row r="26" spans="1:13" x14ac:dyDescent="0.3">
      <c r="A26" t="s">
        <v>193</v>
      </c>
      <c r="B26">
        <v>1</v>
      </c>
      <c r="C26" t="s">
        <v>147</v>
      </c>
      <c r="D26" t="s">
        <v>124</v>
      </c>
      <c r="E26" t="s">
        <v>125</v>
      </c>
      <c r="F26" t="s">
        <v>132</v>
      </c>
      <c r="G26" t="s">
        <v>126</v>
      </c>
      <c r="H26" t="s">
        <v>129</v>
      </c>
      <c r="I26" t="s">
        <v>123</v>
      </c>
      <c r="J26" t="s">
        <v>130</v>
      </c>
      <c r="K26" t="s">
        <v>126</v>
      </c>
      <c r="L26">
        <v>76</v>
      </c>
      <c r="M26">
        <v>2991</v>
      </c>
    </row>
    <row r="27" spans="1:13" x14ac:dyDescent="0.3">
      <c r="A27" t="s">
        <v>194</v>
      </c>
      <c r="B27">
        <v>1</v>
      </c>
      <c r="C27" t="s">
        <v>147</v>
      </c>
      <c r="D27" t="s">
        <v>124</v>
      </c>
      <c r="E27" t="s">
        <v>122</v>
      </c>
      <c r="F27" t="s">
        <v>132</v>
      </c>
      <c r="G27" t="s">
        <v>126</v>
      </c>
      <c r="H27" t="s">
        <v>129</v>
      </c>
      <c r="I27" t="s">
        <v>148</v>
      </c>
      <c r="J27" t="s">
        <v>130</v>
      </c>
      <c r="K27" t="s">
        <v>126</v>
      </c>
      <c r="L27">
        <v>76</v>
      </c>
      <c r="M27">
        <v>2977</v>
      </c>
    </row>
    <row r="28" spans="1:13" x14ac:dyDescent="0.3">
      <c r="A28" t="s">
        <v>195</v>
      </c>
      <c r="B28">
        <v>1</v>
      </c>
      <c r="C28" t="s">
        <v>128</v>
      </c>
      <c r="D28" t="s">
        <v>156</v>
      </c>
      <c r="E28" t="s">
        <v>122</v>
      </c>
      <c r="F28" t="s">
        <v>132</v>
      </c>
      <c r="G28" t="s">
        <v>126</v>
      </c>
      <c r="H28" t="s">
        <v>127</v>
      </c>
      <c r="I28" t="s">
        <v>148</v>
      </c>
      <c r="J28" t="s">
        <v>152</v>
      </c>
      <c r="K28" t="s">
        <v>126</v>
      </c>
      <c r="L28">
        <v>85</v>
      </c>
      <c r="M28">
        <v>3061</v>
      </c>
    </row>
    <row r="29" spans="1:13" x14ac:dyDescent="0.3">
      <c r="A29" t="s">
        <v>196</v>
      </c>
      <c r="B29">
        <v>1</v>
      </c>
      <c r="C29" t="s">
        <v>128</v>
      </c>
      <c r="D29" t="s">
        <v>124</v>
      </c>
      <c r="E29" t="s">
        <v>122</v>
      </c>
      <c r="F29" t="s">
        <v>131</v>
      </c>
      <c r="G29" t="s">
        <v>126</v>
      </c>
      <c r="H29" t="s">
        <v>129</v>
      </c>
      <c r="I29" t="s">
        <v>148</v>
      </c>
      <c r="J29" t="s">
        <v>152</v>
      </c>
      <c r="K29" t="s">
        <v>148</v>
      </c>
      <c r="L29">
        <v>93</v>
      </c>
      <c r="M29">
        <v>3061</v>
      </c>
    </row>
    <row r="30" spans="1:13" x14ac:dyDescent="0.3">
      <c r="A30" t="s">
        <v>197</v>
      </c>
      <c r="B30">
        <v>1</v>
      </c>
      <c r="C30" t="s">
        <v>128</v>
      </c>
      <c r="D30" t="s">
        <v>124</v>
      </c>
      <c r="E30" t="s">
        <v>122</v>
      </c>
      <c r="F30" t="s">
        <v>132</v>
      </c>
      <c r="G30" t="s">
        <v>126</v>
      </c>
      <c r="H30" t="s">
        <v>129</v>
      </c>
      <c r="I30" t="s">
        <v>148</v>
      </c>
      <c r="J30" t="s">
        <v>130</v>
      </c>
      <c r="K30" t="s">
        <v>126</v>
      </c>
      <c r="L30">
        <v>78</v>
      </c>
      <c r="M30">
        <v>3072</v>
      </c>
    </row>
    <row r="31" spans="1:13" x14ac:dyDescent="0.3">
      <c r="A31" t="s">
        <v>198</v>
      </c>
      <c r="B31">
        <v>1</v>
      </c>
      <c r="C31" t="s">
        <v>128</v>
      </c>
      <c r="D31" t="s">
        <v>124</v>
      </c>
      <c r="E31" t="s">
        <v>122</v>
      </c>
      <c r="F31" t="s">
        <v>132</v>
      </c>
      <c r="G31" t="s">
        <v>126</v>
      </c>
      <c r="H31" t="s">
        <v>129</v>
      </c>
      <c r="I31" t="s">
        <v>148</v>
      </c>
      <c r="J31" t="s">
        <v>152</v>
      </c>
      <c r="K31" t="s">
        <v>126</v>
      </c>
      <c r="L31">
        <v>71</v>
      </c>
      <c r="M31">
        <v>3062</v>
      </c>
    </row>
    <row r="32" spans="1:13" x14ac:dyDescent="0.3">
      <c r="A32" t="s">
        <v>199</v>
      </c>
      <c r="B32">
        <v>1</v>
      </c>
      <c r="C32" t="s">
        <v>128</v>
      </c>
      <c r="D32" t="s">
        <v>124</v>
      </c>
      <c r="E32" t="s">
        <v>122</v>
      </c>
      <c r="F32" t="s">
        <v>132</v>
      </c>
      <c r="G32" t="s">
        <v>126</v>
      </c>
      <c r="H32" t="s">
        <v>129</v>
      </c>
      <c r="I32" t="s">
        <v>148</v>
      </c>
      <c r="J32" t="s">
        <v>152</v>
      </c>
      <c r="K32" t="s">
        <v>126</v>
      </c>
      <c r="L32">
        <v>78</v>
      </c>
      <c r="M32">
        <v>3052</v>
      </c>
    </row>
    <row r="33" spans="1:13" x14ac:dyDescent="0.3">
      <c r="A33" t="s">
        <v>200</v>
      </c>
      <c r="B33">
        <v>1</v>
      </c>
      <c r="C33" t="s">
        <v>147</v>
      </c>
      <c r="D33" t="s">
        <v>124</v>
      </c>
      <c r="E33" t="s">
        <v>122</v>
      </c>
      <c r="F33" t="s">
        <v>132</v>
      </c>
      <c r="G33" t="s">
        <v>126</v>
      </c>
      <c r="H33" t="s">
        <v>129</v>
      </c>
      <c r="I33" t="s">
        <v>148</v>
      </c>
      <c r="J33" t="s">
        <v>152</v>
      </c>
      <c r="K33" t="s">
        <v>148</v>
      </c>
      <c r="L33">
        <v>87</v>
      </c>
      <c r="M33">
        <v>3068</v>
      </c>
    </row>
    <row r="34" spans="1:13" x14ac:dyDescent="0.3">
      <c r="A34" t="s">
        <v>201</v>
      </c>
      <c r="B34">
        <v>1</v>
      </c>
      <c r="C34" t="s">
        <v>147</v>
      </c>
      <c r="D34" t="s">
        <v>124</v>
      </c>
      <c r="E34" t="s">
        <v>122</v>
      </c>
      <c r="F34" t="s">
        <v>132</v>
      </c>
      <c r="G34" t="s">
        <v>126</v>
      </c>
      <c r="H34" t="s">
        <v>129</v>
      </c>
      <c r="I34" t="s">
        <v>148</v>
      </c>
      <c r="J34" t="s">
        <v>152</v>
      </c>
      <c r="K34" t="s">
        <v>126</v>
      </c>
      <c r="L34">
        <v>76</v>
      </c>
      <c r="M34">
        <v>2983</v>
      </c>
    </row>
    <row r="35" spans="1:13" x14ac:dyDescent="0.3">
      <c r="A35" t="s">
        <v>202</v>
      </c>
      <c r="B35">
        <v>1</v>
      </c>
      <c r="C35" t="s">
        <v>147</v>
      </c>
      <c r="D35" t="s">
        <v>156</v>
      </c>
      <c r="E35" t="s">
        <v>125</v>
      </c>
      <c r="F35" t="s">
        <v>132</v>
      </c>
      <c r="G35" t="s">
        <v>126</v>
      </c>
      <c r="H35" t="s">
        <v>129</v>
      </c>
      <c r="I35" t="s">
        <v>123</v>
      </c>
      <c r="J35" t="s">
        <v>130</v>
      </c>
      <c r="K35" t="s">
        <v>147</v>
      </c>
      <c r="L35">
        <v>77</v>
      </c>
      <c r="M35">
        <v>2955</v>
      </c>
    </row>
    <row r="36" spans="1:13" x14ac:dyDescent="0.3">
      <c r="A36" t="s">
        <v>203</v>
      </c>
      <c r="B36">
        <v>1</v>
      </c>
      <c r="C36" t="s">
        <v>128</v>
      </c>
      <c r="D36" t="s">
        <v>124</v>
      </c>
      <c r="E36" t="s">
        <v>122</v>
      </c>
      <c r="F36" t="s">
        <v>132</v>
      </c>
      <c r="G36" t="s">
        <v>126</v>
      </c>
      <c r="H36" t="s">
        <v>127</v>
      </c>
      <c r="I36" t="s">
        <v>148</v>
      </c>
      <c r="J36" t="s">
        <v>152</v>
      </c>
      <c r="K36" t="s">
        <v>148</v>
      </c>
      <c r="L36">
        <v>80</v>
      </c>
      <c r="M36">
        <v>3075</v>
      </c>
    </row>
    <row r="37" spans="1:13" x14ac:dyDescent="0.3">
      <c r="A37" t="s">
        <v>204</v>
      </c>
      <c r="B37">
        <v>1</v>
      </c>
      <c r="C37" t="s">
        <v>128</v>
      </c>
      <c r="D37" t="s">
        <v>124</v>
      </c>
      <c r="E37" t="s">
        <v>122</v>
      </c>
      <c r="F37" t="s">
        <v>131</v>
      </c>
      <c r="G37" t="s">
        <v>126</v>
      </c>
      <c r="H37" t="s">
        <v>129</v>
      </c>
      <c r="I37" t="s">
        <v>148</v>
      </c>
      <c r="J37" t="s">
        <v>152</v>
      </c>
      <c r="K37" t="s">
        <v>124</v>
      </c>
      <c r="L37">
        <v>91</v>
      </c>
      <c r="M37">
        <v>3197</v>
      </c>
    </row>
    <row r="38" spans="1:13" x14ac:dyDescent="0.3">
      <c r="A38" t="s">
        <v>205</v>
      </c>
      <c r="B38">
        <v>1</v>
      </c>
      <c r="C38" t="s">
        <v>147</v>
      </c>
      <c r="D38" t="s">
        <v>124</v>
      </c>
      <c r="E38" t="s">
        <v>125</v>
      </c>
      <c r="F38" t="s">
        <v>132</v>
      </c>
      <c r="G38" t="s">
        <v>126</v>
      </c>
      <c r="H38" t="s">
        <v>129</v>
      </c>
      <c r="I38" t="s">
        <v>148</v>
      </c>
      <c r="J38" t="s">
        <v>130</v>
      </c>
      <c r="K38" t="s">
        <v>148</v>
      </c>
      <c r="L38">
        <v>88</v>
      </c>
      <c r="M38">
        <v>3115</v>
      </c>
    </row>
    <row r="39" spans="1:13" x14ac:dyDescent="0.3">
      <c r="A39" t="s">
        <v>206</v>
      </c>
      <c r="B39">
        <v>0</v>
      </c>
      <c r="C39" t="s">
        <v>84</v>
      </c>
      <c r="D39" t="s">
        <v>84</v>
      </c>
      <c r="E39" t="s">
        <v>84</v>
      </c>
      <c r="F39" t="s">
        <v>84</v>
      </c>
      <c r="G39" t="s">
        <v>84</v>
      </c>
      <c r="H39" t="s">
        <v>84</v>
      </c>
      <c r="I39" t="s">
        <v>84</v>
      </c>
      <c r="J39" t="s">
        <v>84</v>
      </c>
      <c r="K39" t="s">
        <v>84</v>
      </c>
      <c r="L39">
        <v>18</v>
      </c>
      <c r="M39">
        <v>2556</v>
      </c>
    </row>
    <row r="40" spans="1:13" x14ac:dyDescent="0.3">
      <c r="A40" t="s">
        <v>207</v>
      </c>
      <c r="B40">
        <v>1</v>
      </c>
      <c r="C40" t="s">
        <v>147</v>
      </c>
      <c r="D40" t="s">
        <v>124</v>
      </c>
      <c r="E40" t="s">
        <v>122</v>
      </c>
      <c r="F40" t="s">
        <v>132</v>
      </c>
      <c r="G40" t="s">
        <v>126</v>
      </c>
      <c r="H40" t="s">
        <v>129</v>
      </c>
      <c r="I40" t="s">
        <v>148</v>
      </c>
      <c r="J40" t="s">
        <v>130</v>
      </c>
      <c r="K40" t="s">
        <v>124</v>
      </c>
      <c r="L40">
        <v>76</v>
      </c>
      <c r="M40">
        <v>2916</v>
      </c>
    </row>
    <row r="41" spans="1:13" x14ac:dyDescent="0.3">
      <c r="A41" t="s">
        <v>208</v>
      </c>
      <c r="B41">
        <v>1</v>
      </c>
      <c r="C41" t="s">
        <v>147</v>
      </c>
      <c r="D41" t="s">
        <v>124</v>
      </c>
      <c r="E41" t="s">
        <v>122</v>
      </c>
      <c r="F41" t="s">
        <v>132</v>
      </c>
      <c r="G41" t="s">
        <v>126</v>
      </c>
      <c r="H41" t="s">
        <v>129</v>
      </c>
      <c r="I41" t="s">
        <v>148</v>
      </c>
      <c r="J41" t="s">
        <v>130</v>
      </c>
      <c r="K41" t="s">
        <v>148</v>
      </c>
      <c r="L41">
        <v>75</v>
      </c>
      <c r="M41">
        <v>3094</v>
      </c>
    </row>
    <row r="42" spans="1:13" x14ac:dyDescent="0.3">
      <c r="A42" t="s">
        <v>209</v>
      </c>
      <c r="B42">
        <v>1</v>
      </c>
      <c r="C42" t="s">
        <v>128</v>
      </c>
      <c r="D42" t="s">
        <v>124</v>
      </c>
      <c r="E42" t="s">
        <v>122</v>
      </c>
      <c r="F42" t="s">
        <v>132</v>
      </c>
      <c r="G42" t="s">
        <v>126</v>
      </c>
      <c r="H42" t="s">
        <v>129</v>
      </c>
      <c r="I42" t="s">
        <v>148</v>
      </c>
      <c r="J42" t="s">
        <v>152</v>
      </c>
      <c r="K42" t="s">
        <v>148</v>
      </c>
      <c r="L42">
        <v>87</v>
      </c>
      <c r="M42">
        <v>3067</v>
      </c>
    </row>
    <row r="43" spans="1:13" x14ac:dyDescent="0.3">
      <c r="A43" t="s">
        <v>210</v>
      </c>
      <c r="B43">
        <v>1</v>
      </c>
      <c r="C43" t="s">
        <v>128</v>
      </c>
      <c r="D43" t="s">
        <v>124</v>
      </c>
      <c r="E43" t="s">
        <v>122</v>
      </c>
      <c r="F43" t="s">
        <v>132</v>
      </c>
      <c r="G43" t="s">
        <v>126</v>
      </c>
      <c r="H43" t="s">
        <v>129</v>
      </c>
      <c r="I43" t="s">
        <v>148</v>
      </c>
      <c r="J43" t="s">
        <v>130</v>
      </c>
      <c r="K43" t="s">
        <v>126</v>
      </c>
      <c r="L43">
        <v>73</v>
      </c>
      <c r="M43">
        <v>2960</v>
      </c>
    </row>
    <row r="44" spans="1:13" x14ac:dyDescent="0.3">
      <c r="A44" t="s">
        <v>211</v>
      </c>
      <c r="B44">
        <v>1</v>
      </c>
      <c r="C44" t="s">
        <v>128</v>
      </c>
      <c r="D44" t="s">
        <v>124</v>
      </c>
      <c r="E44" t="s">
        <v>122</v>
      </c>
      <c r="F44" t="s">
        <v>132</v>
      </c>
      <c r="G44" t="s">
        <v>126</v>
      </c>
      <c r="H44" t="s">
        <v>129</v>
      </c>
      <c r="I44" t="s">
        <v>148</v>
      </c>
      <c r="J44" t="s">
        <v>152</v>
      </c>
      <c r="K44" t="s">
        <v>126</v>
      </c>
      <c r="L44">
        <v>91</v>
      </c>
      <c r="M44">
        <v>3122</v>
      </c>
    </row>
    <row r="45" spans="1:13" x14ac:dyDescent="0.3">
      <c r="A45" t="s">
        <v>212</v>
      </c>
      <c r="B45">
        <v>1</v>
      </c>
      <c r="C45" t="s">
        <v>128</v>
      </c>
      <c r="D45" t="s">
        <v>124</v>
      </c>
      <c r="E45" t="s">
        <v>122</v>
      </c>
      <c r="F45" t="s">
        <v>132</v>
      </c>
      <c r="G45" t="s">
        <v>126</v>
      </c>
      <c r="H45" t="s">
        <v>127</v>
      </c>
      <c r="I45" t="s">
        <v>148</v>
      </c>
      <c r="J45" t="s">
        <v>152</v>
      </c>
      <c r="K45" t="s">
        <v>124</v>
      </c>
      <c r="L45">
        <v>80</v>
      </c>
      <c r="M45">
        <v>3055</v>
      </c>
    </row>
    <row r="46" spans="1:13" x14ac:dyDescent="0.3">
      <c r="A46" t="s">
        <v>213</v>
      </c>
      <c r="B46">
        <v>1</v>
      </c>
      <c r="C46" t="s">
        <v>128</v>
      </c>
      <c r="D46" t="s">
        <v>124</v>
      </c>
      <c r="E46" t="s">
        <v>122</v>
      </c>
      <c r="F46" t="s">
        <v>132</v>
      </c>
      <c r="G46" t="s">
        <v>126</v>
      </c>
      <c r="H46" t="s">
        <v>129</v>
      </c>
      <c r="I46" t="s">
        <v>148</v>
      </c>
      <c r="J46" t="s">
        <v>152</v>
      </c>
      <c r="K46" t="s">
        <v>126</v>
      </c>
      <c r="L46">
        <v>81</v>
      </c>
      <c r="M46">
        <v>3112</v>
      </c>
    </row>
    <row r="47" spans="1:13" x14ac:dyDescent="0.3">
      <c r="A47" t="s">
        <v>214</v>
      </c>
      <c r="B47">
        <v>1</v>
      </c>
      <c r="C47" t="s">
        <v>128</v>
      </c>
      <c r="D47" t="s">
        <v>124</v>
      </c>
      <c r="E47" t="s">
        <v>122</v>
      </c>
      <c r="F47" t="s">
        <v>131</v>
      </c>
      <c r="G47" t="s">
        <v>126</v>
      </c>
      <c r="H47" t="s">
        <v>129</v>
      </c>
      <c r="I47" t="s">
        <v>123</v>
      </c>
      <c r="J47" t="s">
        <v>130</v>
      </c>
      <c r="K47" t="s">
        <v>126</v>
      </c>
      <c r="L47">
        <v>69</v>
      </c>
      <c r="M47">
        <v>2946</v>
      </c>
    </row>
    <row r="48" spans="1:13" x14ac:dyDescent="0.3">
      <c r="A48" t="s">
        <v>215</v>
      </c>
      <c r="B48">
        <v>1</v>
      </c>
      <c r="C48" t="s">
        <v>128</v>
      </c>
      <c r="D48" t="s">
        <v>124</v>
      </c>
      <c r="E48" t="s">
        <v>122</v>
      </c>
      <c r="F48" t="s">
        <v>132</v>
      </c>
      <c r="G48" t="s">
        <v>126</v>
      </c>
      <c r="H48" t="s">
        <v>129</v>
      </c>
      <c r="I48" t="s">
        <v>148</v>
      </c>
      <c r="J48" t="s">
        <v>130</v>
      </c>
      <c r="K48" t="s">
        <v>126</v>
      </c>
      <c r="L48">
        <v>89</v>
      </c>
      <c r="M48">
        <v>3150</v>
      </c>
    </row>
    <row r="49" spans="1:13" x14ac:dyDescent="0.3">
      <c r="A49" t="s">
        <v>216</v>
      </c>
      <c r="B49">
        <v>1</v>
      </c>
      <c r="C49" t="s">
        <v>147</v>
      </c>
      <c r="D49" t="s">
        <v>156</v>
      </c>
      <c r="E49" t="s">
        <v>125</v>
      </c>
      <c r="F49" t="s">
        <v>131</v>
      </c>
      <c r="G49" t="s">
        <v>126</v>
      </c>
      <c r="H49" t="s">
        <v>129</v>
      </c>
      <c r="I49" t="s">
        <v>148</v>
      </c>
      <c r="J49" t="s">
        <v>130</v>
      </c>
      <c r="K49" t="s">
        <v>126</v>
      </c>
      <c r="L49">
        <v>83</v>
      </c>
      <c r="M49">
        <v>3165</v>
      </c>
    </row>
    <row r="50" spans="1:13" x14ac:dyDescent="0.3">
      <c r="A50" t="s">
        <v>217</v>
      </c>
      <c r="B50">
        <v>1</v>
      </c>
      <c r="C50" t="s">
        <v>128</v>
      </c>
      <c r="D50" t="s">
        <v>124</v>
      </c>
      <c r="E50" t="s">
        <v>122</v>
      </c>
      <c r="F50" t="s">
        <v>132</v>
      </c>
      <c r="G50" t="s">
        <v>126</v>
      </c>
      <c r="H50" t="s">
        <v>127</v>
      </c>
      <c r="I50" t="s">
        <v>148</v>
      </c>
      <c r="J50" t="s">
        <v>152</v>
      </c>
      <c r="K50" t="s">
        <v>126</v>
      </c>
      <c r="L50">
        <v>71</v>
      </c>
      <c r="M50">
        <v>2916</v>
      </c>
    </row>
    <row r="51" spans="1:13" x14ac:dyDescent="0.3">
      <c r="A51" t="s">
        <v>218</v>
      </c>
      <c r="B51">
        <v>1</v>
      </c>
      <c r="C51" t="s">
        <v>147</v>
      </c>
      <c r="D51" t="s">
        <v>124</v>
      </c>
      <c r="E51" t="s">
        <v>122</v>
      </c>
      <c r="F51" t="s">
        <v>132</v>
      </c>
      <c r="G51" t="s">
        <v>126</v>
      </c>
      <c r="H51" t="s">
        <v>127</v>
      </c>
      <c r="I51" t="s">
        <v>148</v>
      </c>
      <c r="J51" t="s">
        <v>130</v>
      </c>
      <c r="K51" t="s">
        <v>148</v>
      </c>
      <c r="L51">
        <v>84</v>
      </c>
      <c r="M51">
        <v>3120</v>
      </c>
    </row>
    <row r="52" spans="1:13" x14ac:dyDescent="0.3">
      <c r="A52" t="s">
        <v>145</v>
      </c>
      <c r="B52">
        <v>1</v>
      </c>
      <c r="C52" t="s">
        <v>128</v>
      </c>
      <c r="D52" t="s">
        <v>124</v>
      </c>
      <c r="E52" t="s">
        <v>122</v>
      </c>
      <c r="F52" t="s">
        <v>132</v>
      </c>
      <c r="G52" t="s">
        <v>126</v>
      </c>
      <c r="H52" t="s">
        <v>129</v>
      </c>
      <c r="I52" t="s">
        <v>148</v>
      </c>
      <c r="J52" t="s">
        <v>152</v>
      </c>
      <c r="K52" t="s">
        <v>148</v>
      </c>
      <c r="L52">
        <v>96</v>
      </c>
      <c r="M52">
        <v>3135</v>
      </c>
    </row>
    <row r="53" spans="1:13" x14ac:dyDescent="0.3">
      <c r="A53" t="s">
        <v>219</v>
      </c>
      <c r="B53">
        <v>1</v>
      </c>
      <c r="C53" t="s">
        <v>147</v>
      </c>
      <c r="D53" t="s">
        <v>124</v>
      </c>
      <c r="E53" t="s">
        <v>122</v>
      </c>
      <c r="F53" t="s">
        <v>132</v>
      </c>
      <c r="G53" t="s">
        <v>126</v>
      </c>
      <c r="H53" t="s">
        <v>129</v>
      </c>
      <c r="I53" t="s">
        <v>148</v>
      </c>
      <c r="J53" t="s">
        <v>130</v>
      </c>
      <c r="K53" t="s">
        <v>126</v>
      </c>
      <c r="L53">
        <v>66</v>
      </c>
      <c r="M53">
        <v>2999</v>
      </c>
    </row>
    <row r="54" spans="1:13" x14ac:dyDescent="0.3">
      <c r="A54" t="s">
        <v>220</v>
      </c>
      <c r="B54">
        <v>1</v>
      </c>
      <c r="C54" t="s">
        <v>147</v>
      </c>
      <c r="D54" t="s">
        <v>124</v>
      </c>
      <c r="E54" t="s">
        <v>122</v>
      </c>
      <c r="F54" t="s">
        <v>132</v>
      </c>
      <c r="G54" t="s">
        <v>126</v>
      </c>
      <c r="H54" t="s">
        <v>127</v>
      </c>
      <c r="I54" t="s">
        <v>148</v>
      </c>
      <c r="J54" t="s">
        <v>152</v>
      </c>
      <c r="K54" t="s">
        <v>148</v>
      </c>
      <c r="L54">
        <v>67</v>
      </c>
      <c r="M54">
        <v>2988</v>
      </c>
    </row>
    <row r="55" spans="1:13" x14ac:dyDescent="0.3">
      <c r="A55" t="s">
        <v>221</v>
      </c>
      <c r="B55">
        <v>1</v>
      </c>
      <c r="C55" t="s">
        <v>128</v>
      </c>
      <c r="D55" t="s">
        <v>124</v>
      </c>
      <c r="E55" t="s">
        <v>122</v>
      </c>
      <c r="F55" t="s">
        <v>131</v>
      </c>
      <c r="G55" t="s">
        <v>126</v>
      </c>
      <c r="H55" t="s">
        <v>127</v>
      </c>
      <c r="I55" t="s">
        <v>148</v>
      </c>
      <c r="J55" t="s">
        <v>152</v>
      </c>
      <c r="K55" t="s">
        <v>124</v>
      </c>
      <c r="L55">
        <v>94</v>
      </c>
      <c r="M55">
        <v>3201</v>
      </c>
    </row>
    <row r="56" spans="1:13" x14ac:dyDescent="0.3">
      <c r="A56" t="s">
        <v>222</v>
      </c>
      <c r="B56">
        <v>1</v>
      </c>
      <c r="C56" t="s">
        <v>128</v>
      </c>
      <c r="D56" t="s">
        <v>124</v>
      </c>
      <c r="E56" t="s">
        <v>122</v>
      </c>
      <c r="F56" t="s">
        <v>132</v>
      </c>
      <c r="G56" t="s">
        <v>126</v>
      </c>
      <c r="H56" t="s">
        <v>129</v>
      </c>
      <c r="I56" t="s">
        <v>123</v>
      </c>
      <c r="J56" t="s">
        <v>130</v>
      </c>
      <c r="K56" t="s">
        <v>126</v>
      </c>
      <c r="L56">
        <v>62</v>
      </c>
      <c r="M56">
        <v>2841</v>
      </c>
    </row>
    <row r="57" spans="1:13" x14ac:dyDescent="0.3">
      <c r="A57" t="s">
        <v>223</v>
      </c>
      <c r="B57">
        <v>1</v>
      </c>
      <c r="C57" t="s">
        <v>128</v>
      </c>
      <c r="D57" t="s">
        <v>124</v>
      </c>
      <c r="E57" t="s">
        <v>122</v>
      </c>
      <c r="F57" t="s">
        <v>132</v>
      </c>
      <c r="G57" t="s">
        <v>126</v>
      </c>
      <c r="H57" t="s">
        <v>127</v>
      </c>
      <c r="I57" t="s">
        <v>148</v>
      </c>
      <c r="J57" t="s">
        <v>130</v>
      </c>
      <c r="K57" t="s">
        <v>126</v>
      </c>
      <c r="L57">
        <v>76</v>
      </c>
      <c r="M57">
        <v>3085</v>
      </c>
    </row>
    <row r="58" spans="1:13" x14ac:dyDescent="0.3">
      <c r="A58" t="s">
        <v>224</v>
      </c>
      <c r="B58">
        <v>0</v>
      </c>
      <c r="C58" t="s">
        <v>84</v>
      </c>
      <c r="D58" t="s">
        <v>84</v>
      </c>
      <c r="E58" t="s">
        <v>84</v>
      </c>
      <c r="F58" t="s">
        <v>84</v>
      </c>
      <c r="G58" t="s">
        <v>84</v>
      </c>
      <c r="H58" t="s">
        <v>84</v>
      </c>
      <c r="I58" t="s">
        <v>84</v>
      </c>
      <c r="J58" t="s">
        <v>84</v>
      </c>
      <c r="K58" t="s">
        <v>84</v>
      </c>
      <c r="L58">
        <v>84</v>
      </c>
      <c r="M58">
        <v>3128</v>
      </c>
    </row>
    <row r="59" spans="1:13" x14ac:dyDescent="0.3">
      <c r="A59" t="s">
        <v>225</v>
      </c>
      <c r="B59">
        <v>1</v>
      </c>
      <c r="C59" t="s">
        <v>128</v>
      </c>
      <c r="D59" t="s">
        <v>124</v>
      </c>
      <c r="E59" t="s">
        <v>125</v>
      </c>
      <c r="F59" t="s">
        <v>132</v>
      </c>
      <c r="G59" t="s">
        <v>126</v>
      </c>
      <c r="H59" t="s">
        <v>129</v>
      </c>
      <c r="I59" t="s">
        <v>148</v>
      </c>
      <c r="J59" t="s">
        <v>130</v>
      </c>
      <c r="K59" t="s">
        <v>126</v>
      </c>
      <c r="L59">
        <v>85</v>
      </c>
      <c r="M59">
        <v>3106</v>
      </c>
    </row>
    <row r="60" spans="1:13" x14ac:dyDescent="0.3">
      <c r="A60" t="s">
        <v>226</v>
      </c>
      <c r="B60">
        <v>0</v>
      </c>
      <c r="C60" t="s">
        <v>84</v>
      </c>
      <c r="D60" t="s">
        <v>84</v>
      </c>
      <c r="E60" t="s">
        <v>84</v>
      </c>
      <c r="F60" t="s">
        <v>84</v>
      </c>
      <c r="G60" t="s">
        <v>84</v>
      </c>
      <c r="H60" t="s">
        <v>84</v>
      </c>
      <c r="I60" t="s">
        <v>84</v>
      </c>
      <c r="J60" t="s">
        <v>84</v>
      </c>
      <c r="K60" t="s">
        <v>84</v>
      </c>
      <c r="L60" t="s">
        <v>84</v>
      </c>
      <c r="M60" t="s">
        <v>84</v>
      </c>
    </row>
    <row r="61" spans="1:13" x14ac:dyDescent="0.3">
      <c r="A61" t="s">
        <v>226</v>
      </c>
      <c r="B61">
        <v>0</v>
      </c>
      <c r="C61" t="s">
        <v>84</v>
      </c>
      <c r="D61" t="s">
        <v>84</v>
      </c>
      <c r="E61" t="s">
        <v>84</v>
      </c>
      <c r="F61" t="s">
        <v>84</v>
      </c>
      <c r="G61" t="s">
        <v>84</v>
      </c>
      <c r="H61" t="s">
        <v>84</v>
      </c>
      <c r="I61" t="s">
        <v>84</v>
      </c>
      <c r="J61" t="s">
        <v>84</v>
      </c>
      <c r="K61" t="s">
        <v>84</v>
      </c>
      <c r="L61" t="s">
        <v>84</v>
      </c>
      <c r="M61" t="s">
        <v>84</v>
      </c>
    </row>
    <row r="62" spans="1:13" x14ac:dyDescent="0.3">
      <c r="A62" t="s">
        <v>226</v>
      </c>
      <c r="B62">
        <v>0</v>
      </c>
      <c r="C62" t="s">
        <v>84</v>
      </c>
      <c r="D62" t="s">
        <v>84</v>
      </c>
      <c r="E62" t="s">
        <v>84</v>
      </c>
      <c r="F62" t="s">
        <v>84</v>
      </c>
      <c r="G62" t="s">
        <v>84</v>
      </c>
      <c r="H62" t="s">
        <v>84</v>
      </c>
      <c r="I62" t="s">
        <v>84</v>
      </c>
      <c r="J62" t="s">
        <v>84</v>
      </c>
      <c r="K62" t="s">
        <v>84</v>
      </c>
      <c r="L62" t="s">
        <v>84</v>
      </c>
      <c r="M62" t="s">
        <v>84</v>
      </c>
    </row>
    <row r="63" spans="1:13" x14ac:dyDescent="0.3">
      <c r="A63" t="s">
        <v>226</v>
      </c>
      <c r="B63">
        <v>0</v>
      </c>
      <c r="C63" t="s">
        <v>84</v>
      </c>
      <c r="D63" t="s">
        <v>84</v>
      </c>
      <c r="E63" t="s">
        <v>84</v>
      </c>
      <c r="F63" t="s">
        <v>84</v>
      </c>
      <c r="G63" t="s">
        <v>84</v>
      </c>
      <c r="H63" t="s">
        <v>84</v>
      </c>
      <c r="I63" t="s">
        <v>84</v>
      </c>
      <c r="J63" t="s">
        <v>84</v>
      </c>
      <c r="K63" t="s">
        <v>84</v>
      </c>
      <c r="L63" t="s">
        <v>84</v>
      </c>
      <c r="M63" t="s">
        <v>84</v>
      </c>
    </row>
    <row r="64" spans="1:13" x14ac:dyDescent="0.3">
      <c r="A64" t="s">
        <v>226</v>
      </c>
      <c r="B64">
        <v>0</v>
      </c>
      <c r="C64" t="s">
        <v>84</v>
      </c>
      <c r="D64" t="s">
        <v>84</v>
      </c>
      <c r="E64" t="s">
        <v>84</v>
      </c>
      <c r="F64" t="s">
        <v>84</v>
      </c>
      <c r="G64" t="s">
        <v>84</v>
      </c>
      <c r="H64" t="s">
        <v>84</v>
      </c>
      <c r="I64" t="s">
        <v>84</v>
      </c>
      <c r="J64" t="s">
        <v>84</v>
      </c>
      <c r="K64" t="s">
        <v>84</v>
      </c>
      <c r="L64" t="s">
        <v>84</v>
      </c>
      <c r="M64" t="s">
        <v>84</v>
      </c>
    </row>
    <row r="65" spans="1:13" x14ac:dyDescent="0.3">
      <c r="A65" t="s">
        <v>226</v>
      </c>
      <c r="B65">
        <v>0</v>
      </c>
      <c r="C65" t="s">
        <v>84</v>
      </c>
      <c r="D65" t="s">
        <v>84</v>
      </c>
      <c r="E65" t="s">
        <v>84</v>
      </c>
      <c r="F65" t="s">
        <v>84</v>
      </c>
      <c r="G65" t="s">
        <v>84</v>
      </c>
      <c r="H65" t="s">
        <v>84</v>
      </c>
      <c r="I65" t="s">
        <v>84</v>
      </c>
      <c r="J65" t="s">
        <v>84</v>
      </c>
      <c r="K65" t="s">
        <v>84</v>
      </c>
      <c r="L65" t="s">
        <v>84</v>
      </c>
      <c r="M65" t="s">
        <v>84</v>
      </c>
    </row>
    <row r="66" spans="1:13" x14ac:dyDescent="0.3">
      <c r="A66" t="s">
        <v>226</v>
      </c>
      <c r="B66">
        <v>0</v>
      </c>
      <c r="C66" t="s">
        <v>84</v>
      </c>
      <c r="D66" t="s">
        <v>84</v>
      </c>
      <c r="E66" t="s">
        <v>84</v>
      </c>
      <c r="F66" t="s">
        <v>84</v>
      </c>
      <c r="G66" t="s">
        <v>84</v>
      </c>
      <c r="H66" t="s">
        <v>84</v>
      </c>
      <c r="I66" t="s">
        <v>84</v>
      </c>
      <c r="J66" t="s">
        <v>84</v>
      </c>
      <c r="K66" t="s">
        <v>84</v>
      </c>
      <c r="L66" t="s">
        <v>84</v>
      </c>
      <c r="M66" t="s">
        <v>84</v>
      </c>
    </row>
    <row r="67" spans="1:13" x14ac:dyDescent="0.3">
      <c r="A67" t="s">
        <v>226</v>
      </c>
      <c r="B67">
        <v>0</v>
      </c>
      <c r="C67" t="s">
        <v>84</v>
      </c>
      <c r="D67" t="s">
        <v>84</v>
      </c>
      <c r="E67" t="s">
        <v>84</v>
      </c>
      <c r="F67" t="s">
        <v>84</v>
      </c>
      <c r="G67" t="s">
        <v>84</v>
      </c>
      <c r="H67" t="s">
        <v>84</v>
      </c>
      <c r="I67" t="s">
        <v>84</v>
      </c>
      <c r="J67" t="s">
        <v>84</v>
      </c>
      <c r="K67" t="s">
        <v>84</v>
      </c>
      <c r="L67" t="s">
        <v>84</v>
      </c>
      <c r="M67" t="s">
        <v>84</v>
      </c>
    </row>
    <row r="68" spans="1:13" x14ac:dyDescent="0.3">
      <c r="A68" t="s">
        <v>226</v>
      </c>
      <c r="B68">
        <v>0</v>
      </c>
      <c r="C68" t="s">
        <v>84</v>
      </c>
      <c r="D68" t="s">
        <v>84</v>
      </c>
      <c r="E68" t="s">
        <v>84</v>
      </c>
      <c r="F68" t="s">
        <v>84</v>
      </c>
      <c r="G68" t="s">
        <v>84</v>
      </c>
      <c r="H68" t="s">
        <v>84</v>
      </c>
      <c r="I68" t="s">
        <v>84</v>
      </c>
      <c r="J68" t="s">
        <v>84</v>
      </c>
      <c r="K68" t="s">
        <v>84</v>
      </c>
      <c r="L68" t="s">
        <v>84</v>
      </c>
      <c r="M68" t="s">
        <v>84</v>
      </c>
    </row>
    <row r="69" spans="1:13" x14ac:dyDescent="0.3">
      <c r="A69" t="s">
        <v>226</v>
      </c>
      <c r="B69">
        <v>0</v>
      </c>
      <c r="C69" t="s">
        <v>84</v>
      </c>
      <c r="D69" t="s">
        <v>84</v>
      </c>
      <c r="E69" t="s">
        <v>84</v>
      </c>
      <c r="F69" t="s">
        <v>84</v>
      </c>
      <c r="G69" t="s">
        <v>84</v>
      </c>
      <c r="H69" t="s">
        <v>84</v>
      </c>
      <c r="I69" t="s">
        <v>84</v>
      </c>
      <c r="J69" t="s">
        <v>84</v>
      </c>
      <c r="K69" t="s">
        <v>84</v>
      </c>
      <c r="L69" t="s">
        <v>84</v>
      </c>
      <c r="M69" t="s">
        <v>84</v>
      </c>
    </row>
    <row r="70" spans="1:13" x14ac:dyDescent="0.3">
      <c r="A70" t="s">
        <v>226</v>
      </c>
      <c r="B70">
        <v>0</v>
      </c>
      <c r="C70" t="s">
        <v>84</v>
      </c>
      <c r="D70" t="s">
        <v>84</v>
      </c>
      <c r="E70" t="s">
        <v>84</v>
      </c>
      <c r="F70" t="s">
        <v>84</v>
      </c>
      <c r="G70" t="s">
        <v>84</v>
      </c>
      <c r="H70" t="s">
        <v>84</v>
      </c>
      <c r="I70" t="s">
        <v>84</v>
      </c>
      <c r="J70" t="s">
        <v>84</v>
      </c>
      <c r="K70" t="s">
        <v>84</v>
      </c>
      <c r="L70" t="s">
        <v>84</v>
      </c>
      <c r="M70" t="s">
        <v>84</v>
      </c>
    </row>
    <row r="71" spans="1:13" x14ac:dyDescent="0.3">
      <c r="A71" t="s">
        <v>226</v>
      </c>
      <c r="B71">
        <v>0</v>
      </c>
      <c r="C71" t="s">
        <v>84</v>
      </c>
      <c r="D71" t="s">
        <v>84</v>
      </c>
      <c r="E71" t="s">
        <v>84</v>
      </c>
      <c r="F71" t="s">
        <v>84</v>
      </c>
      <c r="G71" t="s">
        <v>84</v>
      </c>
      <c r="H71" t="s">
        <v>84</v>
      </c>
      <c r="I71" t="s">
        <v>84</v>
      </c>
      <c r="J71" t="s">
        <v>84</v>
      </c>
      <c r="K71" t="s">
        <v>84</v>
      </c>
      <c r="L71" t="s">
        <v>84</v>
      </c>
      <c r="M71" t="s">
        <v>84</v>
      </c>
    </row>
    <row r="72" spans="1:13" x14ac:dyDescent="0.3">
      <c r="A72" t="s">
        <v>226</v>
      </c>
      <c r="B72">
        <v>0</v>
      </c>
      <c r="C72" t="s">
        <v>84</v>
      </c>
      <c r="D72" t="s">
        <v>84</v>
      </c>
      <c r="E72" t="s">
        <v>84</v>
      </c>
      <c r="F72" t="s">
        <v>84</v>
      </c>
      <c r="G72" t="s">
        <v>84</v>
      </c>
      <c r="H72" t="s">
        <v>84</v>
      </c>
      <c r="I72" t="s">
        <v>84</v>
      </c>
      <c r="J72" t="s">
        <v>84</v>
      </c>
      <c r="K72" t="s">
        <v>84</v>
      </c>
      <c r="L72" t="s">
        <v>84</v>
      </c>
      <c r="M72" t="s">
        <v>84</v>
      </c>
    </row>
    <row r="73" spans="1:13" x14ac:dyDescent="0.3">
      <c r="A73" t="s">
        <v>226</v>
      </c>
      <c r="B73">
        <v>0</v>
      </c>
      <c r="C73" t="s">
        <v>84</v>
      </c>
      <c r="D73" t="s">
        <v>84</v>
      </c>
      <c r="E73" t="s">
        <v>84</v>
      </c>
      <c r="F73" t="s">
        <v>84</v>
      </c>
      <c r="G73" t="s">
        <v>84</v>
      </c>
      <c r="H73" t="s">
        <v>84</v>
      </c>
      <c r="I73" t="s">
        <v>84</v>
      </c>
      <c r="J73" t="s">
        <v>84</v>
      </c>
      <c r="K73" t="s">
        <v>84</v>
      </c>
      <c r="L73" t="s">
        <v>84</v>
      </c>
      <c r="M73" t="s">
        <v>84</v>
      </c>
    </row>
    <row r="74" spans="1:13" x14ac:dyDescent="0.3">
      <c r="A74" t="s">
        <v>226</v>
      </c>
      <c r="B74">
        <v>0</v>
      </c>
      <c r="C74" t="s">
        <v>84</v>
      </c>
      <c r="D74" t="s">
        <v>84</v>
      </c>
      <c r="E74" t="s">
        <v>84</v>
      </c>
      <c r="F74" t="s">
        <v>84</v>
      </c>
      <c r="G74" t="s">
        <v>84</v>
      </c>
      <c r="H74" t="s">
        <v>84</v>
      </c>
      <c r="I74" t="s">
        <v>84</v>
      </c>
      <c r="J74" t="s">
        <v>84</v>
      </c>
      <c r="K74" t="s">
        <v>84</v>
      </c>
      <c r="L74" t="s">
        <v>84</v>
      </c>
      <c r="M74" t="s">
        <v>84</v>
      </c>
    </row>
    <row r="75" spans="1:13" x14ac:dyDescent="0.3">
      <c r="A75" t="s">
        <v>226</v>
      </c>
      <c r="B75">
        <v>0</v>
      </c>
      <c r="C75" t="s">
        <v>84</v>
      </c>
      <c r="D75" t="s">
        <v>84</v>
      </c>
      <c r="E75" t="s">
        <v>84</v>
      </c>
      <c r="F75" t="s">
        <v>84</v>
      </c>
      <c r="G75" t="s">
        <v>84</v>
      </c>
      <c r="H75" t="s">
        <v>84</v>
      </c>
      <c r="I75" t="s">
        <v>84</v>
      </c>
      <c r="J75" t="s">
        <v>84</v>
      </c>
      <c r="K75" t="s">
        <v>84</v>
      </c>
      <c r="L75" t="s">
        <v>84</v>
      </c>
      <c r="M75" t="s">
        <v>84</v>
      </c>
    </row>
    <row r="76" spans="1:13" x14ac:dyDescent="0.3">
      <c r="A76" t="s">
        <v>226</v>
      </c>
      <c r="B76">
        <v>0</v>
      </c>
      <c r="C76" t="s">
        <v>84</v>
      </c>
      <c r="D76" t="s">
        <v>84</v>
      </c>
      <c r="E76" t="s">
        <v>84</v>
      </c>
      <c r="F76" t="s">
        <v>84</v>
      </c>
      <c r="G76" t="s">
        <v>84</v>
      </c>
      <c r="H76" t="s">
        <v>84</v>
      </c>
      <c r="I76" t="s">
        <v>84</v>
      </c>
      <c r="J76" t="s">
        <v>84</v>
      </c>
      <c r="K76" t="s">
        <v>84</v>
      </c>
      <c r="L76" t="s">
        <v>84</v>
      </c>
      <c r="M76" t="s">
        <v>84</v>
      </c>
    </row>
    <row r="77" spans="1:13" x14ac:dyDescent="0.3">
      <c r="A77" t="s">
        <v>226</v>
      </c>
      <c r="B77">
        <v>0</v>
      </c>
      <c r="C77" t="s">
        <v>84</v>
      </c>
      <c r="D77" t="s">
        <v>84</v>
      </c>
      <c r="E77" t="s">
        <v>84</v>
      </c>
      <c r="F77" t="s">
        <v>84</v>
      </c>
      <c r="G77" t="s">
        <v>84</v>
      </c>
      <c r="H77" t="s">
        <v>84</v>
      </c>
      <c r="I77" t="s">
        <v>84</v>
      </c>
      <c r="J77" t="s">
        <v>84</v>
      </c>
      <c r="K77" t="s">
        <v>84</v>
      </c>
      <c r="L77" t="s">
        <v>84</v>
      </c>
      <c r="M77" t="s">
        <v>84</v>
      </c>
    </row>
    <row r="78" spans="1:13" x14ac:dyDescent="0.3">
      <c r="A78" t="s">
        <v>226</v>
      </c>
      <c r="B78">
        <v>0</v>
      </c>
      <c r="C78" t="s">
        <v>84</v>
      </c>
      <c r="D78" t="s">
        <v>84</v>
      </c>
      <c r="E78" t="s">
        <v>84</v>
      </c>
      <c r="F78" t="s">
        <v>84</v>
      </c>
      <c r="G78" t="s">
        <v>84</v>
      </c>
      <c r="H78" t="s">
        <v>84</v>
      </c>
      <c r="I78" t="s">
        <v>84</v>
      </c>
      <c r="J78" t="s">
        <v>84</v>
      </c>
      <c r="K78" t="s">
        <v>84</v>
      </c>
      <c r="L78" t="s">
        <v>84</v>
      </c>
      <c r="M78" t="s">
        <v>84</v>
      </c>
    </row>
    <row r="79" spans="1:13" x14ac:dyDescent="0.3">
      <c r="A79" t="s">
        <v>226</v>
      </c>
      <c r="B79">
        <v>0</v>
      </c>
      <c r="C79" t="s">
        <v>84</v>
      </c>
      <c r="D79" t="s">
        <v>84</v>
      </c>
      <c r="E79" t="s">
        <v>84</v>
      </c>
      <c r="F79" t="s">
        <v>84</v>
      </c>
      <c r="G79" t="s">
        <v>84</v>
      </c>
      <c r="H79" t="s">
        <v>84</v>
      </c>
      <c r="I79" t="s">
        <v>84</v>
      </c>
      <c r="J79" t="s">
        <v>84</v>
      </c>
      <c r="K79" t="s">
        <v>84</v>
      </c>
      <c r="L79" t="s">
        <v>84</v>
      </c>
      <c r="M79" t="s">
        <v>84</v>
      </c>
    </row>
    <row r="80" spans="1:13" x14ac:dyDescent="0.3">
      <c r="A80" t="s">
        <v>226</v>
      </c>
      <c r="B80">
        <v>0</v>
      </c>
      <c r="C80" t="s">
        <v>84</v>
      </c>
      <c r="D80" t="s">
        <v>84</v>
      </c>
      <c r="E80" t="s">
        <v>84</v>
      </c>
      <c r="F80" t="s">
        <v>84</v>
      </c>
      <c r="G80" t="s">
        <v>84</v>
      </c>
      <c r="H80" t="s">
        <v>84</v>
      </c>
      <c r="I80" t="s">
        <v>84</v>
      </c>
      <c r="J80" t="s">
        <v>84</v>
      </c>
      <c r="K80" t="s">
        <v>84</v>
      </c>
      <c r="L80" t="s">
        <v>84</v>
      </c>
      <c r="M80" t="s">
        <v>84</v>
      </c>
    </row>
    <row r="81" spans="1:13" x14ac:dyDescent="0.3">
      <c r="A81" t="s">
        <v>226</v>
      </c>
      <c r="B81">
        <v>0</v>
      </c>
      <c r="C81" t="s">
        <v>84</v>
      </c>
      <c r="D81" t="s">
        <v>84</v>
      </c>
      <c r="E81" t="s">
        <v>84</v>
      </c>
      <c r="F81" t="s">
        <v>84</v>
      </c>
      <c r="G81" t="s">
        <v>84</v>
      </c>
      <c r="H81" t="s">
        <v>84</v>
      </c>
      <c r="I81" t="s">
        <v>84</v>
      </c>
      <c r="J81" t="s">
        <v>84</v>
      </c>
      <c r="K81" t="s">
        <v>84</v>
      </c>
      <c r="L81" t="s">
        <v>84</v>
      </c>
      <c r="M81" t="s">
        <v>84</v>
      </c>
    </row>
    <row r="82" spans="1:13" x14ac:dyDescent="0.3">
      <c r="A82" t="s">
        <v>226</v>
      </c>
      <c r="B82">
        <v>0</v>
      </c>
      <c r="C82" t="s">
        <v>84</v>
      </c>
      <c r="D82" t="s">
        <v>84</v>
      </c>
      <c r="E82" t="s">
        <v>84</v>
      </c>
      <c r="F82" t="s">
        <v>84</v>
      </c>
      <c r="G82" t="s">
        <v>84</v>
      </c>
      <c r="H82" t="s">
        <v>84</v>
      </c>
      <c r="I82" t="s">
        <v>84</v>
      </c>
      <c r="J82" t="s">
        <v>84</v>
      </c>
      <c r="K82" t="s">
        <v>84</v>
      </c>
      <c r="L82" t="s">
        <v>84</v>
      </c>
      <c r="M82" t="s">
        <v>84</v>
      </c>
    </row>
    <row r="83" spans="1:13" x14ac:dyDescent="0.3">
      <c r="A83" t="s">
        <v>226</v>
      </c>
      <c r="B83">
        <v>0</v>
      </c>
      <c r="C83" t="s">
        <v>84</v>
      </c>
      <c r="D83" t="s">
        <v>84</v>
      </c>
      <c r="E83" t="s">
        <v>84</v>
      </c>
      <c r="F83" t="s">
        <v>84</v>
      </c>
      <c r="G83" t="s">
        <v>84</v>
      </c>
      <c r="H83" t="s">
        <v>84</v>
      </c>
      <c r="I83" t="s">
        <v>84</v>
      </c>
      <c r="J83" t="s">
        <v>84</v>
      </c>
      <c r="K83" t="s">
        <v>84</v>
      </c>
      <c r="L83" t="s">
        <v>84</v>
      </c>
      <c r="M83" t="s">
        <v>84</v>
      </c>
    </row>
    <row r="84" spans="1:13" x14ac:dyDescent="0.3">
      <c r="A84" t="s">
        <v>226</v>
      </c>
      <c r="B84">
        <v>0</v>
      </c>
      <c r="C84" t="s">
        <v>84</v>
      </c>
      <c r="D84" t="s">
        <v>84</v>
      </c>
      <c r="E84" t="s">
        <v>84</v>
      </c>
      <c r="F84" t="s">
        <v>84</v>
      </c>
      <c r="G84" t="s">
        <v>84</v>
      </c>
      <c r="H84" t="s">
        <v>84</v>
      </c>
      <c r="I84" t="s">
        <v>84</v>
      </c>
      <c r="J84" t="s">
        <v>84</v>
      </c>
      <c r="K84" t="s">
        <v>84</v>
      </c>
      <c r="L84" t="s">
        <v>84</v>
      </c>
      <c r="M84" t="s">
        <v>84</v>
      </c>
    </row>
    <row r="85" spans="1:13" x14ac:dyDescent="0.3">
      <c r="A85" t="s">
        <v>226</v>
      </c>
      <c r="B85">
        <v>0</v>
      </c>
      <c r="C85" t="s">
        <v>84</v>
      </c>
      <c r="D85" t="s">
        <v>84</v>
      </c>
      <c r="E85" t="s">
        <v>84</v>
      </c>
      <c r="F85" t="s">
        <v>84</v>
      </c>
      <c r="G85" t="s">
        <v>84</v>
      </c>
      <c r="H85" t="s">
        <v>84</v>
      </c>
      <c r="I85" t="s">
        <v>84</v>
      </c>
      <c r="J85" t="s">
        <v>84</v>
      </c>
      <c r="K85" t="s">
        <v>84</v>
      </c>
      <c r="L85" t="s">
        <v>84</v>
      </c>
      <c r="M85" t="s">
        <v>84</v>
      </c>
    </row>
    <row r="86" spans="1:13" x14ac:dyDescent="0.3">
      <c r="A86" t="s">
        <v>226</v>
      </c>
      <c r="B86">
        <v>0</v>
      </c>
      <c r="C86" t="s">
        <v>84</v>
      </c>
      <c r="D86" t="s">
        <v>84</v>
      </c>
      <c r="E86" t="s">
        <v>84</v>
      </c>
      <c r="F86" t="s">
        <v>84</v>
      </c>
      <c r="G86" t="s">
        <v>84</v>
      </c>
      <c r="H86" t="s">
        <v>84</v>
      </c>
      <c r="I86" t="s">
        <v>84</v>
      </c>
      <c r="J86" t="s">
        <v>84</v>
      </c>
      <c r="K86" t="s">
        <v>84</v>
      </c>
      <c r="L86" t="s">
        <v>84</v>
      </c>
      <c r="M86" t="s">
        <v>84</v>
      </c>
    </row>
    <row r="87" spans="1:13" x14ac:dyDescent="0.3">
      <c r="A87" t="s">
        <v>226</v>
      </c>
      <c r="B87">
        <v>0</v>
      </c>
      <c r="C87" t="s">
        <v>84</v>
      </c>
      <c r="D87" t="s">
        <v>84</v>
      </c>
      <c r="E87" t="s">
        <v>84</v>
      </c>
      <c r="F87" t="s">
        <v>84</v>
      </c>
      <c r="G87" t="s">
        <v>84</v>
      </c>
      <c r="H87" t="s">
        <v>84</v>
      </c>
      <c r="I87" t="s">
        <v>84</v>
      </c>
      <c r="J87" t="s">
        <v>84</v>
      </c>
      <c r="K87" t="s">
        <v>84</v>
      </c>
      <c r="L87" t="s">
        <v>84</v>
      </c>
      <c r="M87" t="s">
        <v>84</v>
      </c>
    </row>
    <row r="88" spans="1:13" x14ac:dyDescent="0.3">
      <c r="A88" t="s">
        <v>226</v>
      </c>
      <c r="B88">
        <v>0</v>
      </c>
      <c r="C88" t="s">
        <v>84</v>
      </c>
      <c r="D88" t="s">
        <v>84</v>
      </c>
      <c r="E88" t="s">
        <v>84</v>
      </c>
      <c r="F88" t="s">
        <v>84</v>
      </c>
      <c r="G88" t="s">
        <v>84</v>
      </c>
      <c r="H88" t="s">
        <v>84</v>
      </c>
      <c r="I88" t="s">
        <v>84</v>
      </c>
      <c r="J88" t="s">
        <v>84</v>
      </c>
      <c r="K88" t="s">
        <v>84</v>
      </c>
      <c r="L88" t="s">
        <v>84</v>
      </c>
      <c r="M88" t="s">
        <v>84</v>
      </c>
    </row>
    <row r="89" spans="1:13" x14ac:dyDescent="0.3">
      <c r="A89" t="s">
        <v>226</v>
      </c>
      <c r="B89">
        <v>0</v>
      </c>
      <c r="C89" t="s">
        <v>84</v>
      </c>
      <c r="D89" t="s">
        <v>84</v>
      </c>
      <c r="E89" t="s">
        <v>84</v>
      </c>
      <c r="F89" t="s">
        <v>84</v>
      </c>
      <c r="G89" t="s">
        <v>84</v>
      </c>
      <c r="H89" t="s">
        <v>84</v>
      </c>
      <c r="I89" t="s">
        <v>84</v>
      </c>
      <c r="J89" t="s">
        <v>84</v>
      </c>
      <c r="K89" t="s">
        <v>84</v>
      </c>
      <c r="L89" t="s">
        <v>84</v>
      </c>
      <c r="M89" t="s">
        <v>84</v>
      </c>
    </row>
    <row r="90" spans="1:13" x14ac:dyDescent="0.3">
      <c r="A90" t="s">
        <v>226</v>
      </c>
      <c r="B90">
        <v>0</v>
      </c>
      <c r="C90" t="s">
        <v>84</v>
      </c>
      <c r="D90" t="s">
        <v>84</v>
      </c>
      <c r="E90" t="s">
        <v>84</v>
      </c>
      <c r="F90" t="s">
        <v>84</v>
      </c>
      <c r="G90" t="s">
        <v>84</v>
      </c>
      <c r="H90" t="s">
        <v>84</v>
      </c>
      <c r="I90" t="s">
        <v>84</v>
      </c>
      <c r="J90" t="s">
        <v>84</v>
      </c>
      <c r="K90" t="s">
        <v>84</v>
      </c>
      <c r="L90" t="s">
        <v>84</v>
      </c>
      <c r="M90" t="s">
        <v>84</v>
      </c>
    </row>
    <row r="91" spans="1:13" x14ac:dyDescent="0.3">
      <c r="A91" t="s">
        <v>226</v>
      </c>
      <c r="B91">
        <v>0</v>
      </c>
      <c r="C91" t="s">
        <v>84</v>
      </c>
      <c r="D91" t="s">
        <v>84</v>
      </c>
      <c r="E91" t="s">
        <v>84</v>
      </c>
      <c r="F91" t="s">
        <v>84</v>
      </c>
      <c r="G91" t="s">
        <v>84</v>
      </c>
      <c r="H91" t="s">
        <v>84</v>
      </c>
      <c r="I91" t="s">
        <v>84</v>
      </c>
      <c r="J91" t="s">
        <v>84</v>
      </c>
      <c r="K91" t="s">
        <v>84</v>
      </c>
      <c r="L91" t="s">
        <v>84</v>
      </c>
      <c r="M91" t="s">
        <v>84</v>
      </c>
    </row>
    <row r="92" spans="1:13" x14ac:dyDescent="0.3">
      <c r="A92" t="s">
        <v>226</v>
      </c>
      <c r="B92">
        <v>0</v>
      </c>
      <c r="C92" t="s">
        <v>84</v>
      </c>
      <c r="D92" t="s">
        <v>84</v>
      </c>
      <c r="E92" t="s">
        <v>84</v>
      </c>
      <c r="F92" t="s">
        <v>84</v>
      </c>
      <c r="G92" t="s">
        <v>84</v>
      </c>
      <c r="H92" t="s">
        <v>84</v>
      </c>
      <c r="I92" t="s">
        <v>84</v>
      </c>
      <c r="J92" t="s">
        <v>84</v>
      </c>
      <c r="K92" t="s">
        <v>84</v>
      </c>
      <c r="L92" t="s">
        <v>84</v>
      </c>
      <c r="M92" t="s">
        <v>84</v>
      </c>
    </row>
    <row r="93" spans="1:13" x14ac:dyDescent="0.3">
      <c r="A93" t="s">
        <v>226</v>
      </c>
      <c r="B93">
        <v>0</v>
      </c>
      <c r="C93" t="s">
        <v>84</v>
      </c>
      <c r="D93" t="s">
        <v>84</v>
      </c>
      <c r="E93" t="s">
        <v>84</v>
      </c>
      <c r="F93" t="s">
        <v>84</v>
      </c>
      <c r="G93" t="s">
        <v>84</v>
      </c>
      <c r="H93" t="s">
        <v>84</v>
      </c>
      <c r="I93" t="s">
        <v>84</v>
      </c>
      <c r="J93" t="s">
        <v>84</v>
      </c>
      <c r="K93" t="s">
        <v>84</v>
      </c>
      <c r="L93" t="s">
        <v>84</v>
      </c>
      <c r="M93" t="s">
        <v>84</v>
      </c>
    </row>
    <row r="94" spans="1:13" x14ac:dyDescent="0.3">
      <c r="A94" t="s">
        <v>226</v>
      </c>
      <c r="B94">
        <v>0</v>
      </c>
      <c r="C94" t="s">
        <v>84</v>
      </c>
      <c r="D94" t="s">
        <v>84</v>
      </c>
      <c r="E94" t="s">
        <v>84</v>
      </c>
      <c r="F94" t="s">
        <v>84</v>
      </c>
      <c r="G94" t="s">
        <v>84</v>
      </c>
      <c r="H94" t="s">
        <v>84</v>
      </c>
      <c r="I94" t="s">
        <v>84</v>
      </c>
      <c r="J94" t="s">
        <v>84</v>
      </c>
      <c r="K94" t="s">
        <v>84</v>
      </c>
      <c r="L94" t="s">
        <v>84</v>
      </c>
      <c r="M94" t="s">
        <v>84</v>
      </c>
    </row>
    <row r="95" spans="1:13" x14ac:dyDescent="0.3">
      <c r="A95" t="s">
        <v>226</v>
      </c>
      <c r="B95">
        <v>0</v>
      </c>
      <c r="C95" t="s">
        <v>84</v>
      </c>
      <c r="D95" t="s">
        <v>84</v>
      </c>
      <c r="E95" t="s">
        <v>84</v>
      </c>
      <c r="F95" t="s">
        <v>84</v>
      </c>
      <c r="G95" t="s">
        <v>84</v>
      </c>
      <c r="H95" t="s">
        <v>84</v>
      </c>
      <c r="I95" t="s">
        <v>84</v>
      </c>
      <c r="J95" t="s">
        <v>84</v>
      </c>
      <c r="K95" t="s">
        <v>84</v>
      </c>
      <c r="L95" t="s">
        <v>84</v>
      </c>
      <c r="M95" t="s">
        <v>84</v>
      </c>
    </row>
    <row r="96" spans="1:13" x14ac:dyDescent="0.3">
      <c r="A96" t="s">
        <v>227</v>
      </c>
      <c r="B96">
        <v>1</v>
      </c>
      <c r="C96" t="s">
        <v>147</v>
      </c>
      <c r="D96" t="s">
        <v>124</v>
      </c>
      <c r="E96" t="s">
        <v>122</v>
      </c>
      <c r="F96" t="s">
        <v>132</v>
      </c>
      <c r="G96" t="s">
        <v>126</v>
      </c>
      <c r="H96" t="s">
        <v>129</v>
      </c>
      <c r="I96" t="s">
        <v>148</v>
      </c>
      <c r="J96" t="s">
        <v>130</v>
      </c>
      <c r="K96" t="s">
        <v>126</v>
      </c>
      <c r="L96">
        <v>74</v>
      </c>
      <c r="M96">
        <v>2914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2024-07-04T19:53:29Z</dcterms:modified>
</cp:coreProperties>
</file>