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40C42442-0939-4B79-B90F-DCF9C0149BC8}"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D48" i="1"/>
  <c r="F48" i="1" s="1"/>
  <c r="D32" i="1"/>
  <c r="D4" i="1"/>
  <c r="F4" i="1" s="1"/>
  <c r="D64" i="1"/>
  <c r="F64" i="1" s="1"/>
  <c r="D61" i="1"/>
  <c r="E61" i="1" s="1"/>
  <c r="D31" i="1"/>
  <c r="F31" i="1" s="1"/>
  <c r="D19" i="1"/>
  <c r="F19" i="1" s="1"/>
  <c r="D95" i="1"/>
  <c r="E95" i="1" s="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29" i="1"/>
  <c r="F29" i="1"/>
  <c r="E60" i="1"/>
  <c r="F60" i="1"/>
  <c r="E11" i="1"/>
  <c r="F11" i="1"/>
  <c r="E31" i="1"/>
  <c r="F54" i="1"/>
  <c r="E54" i="1"/>
  <c r="E64" i="1"/>
  <c r="F26" i="1"/>
  <c r="E26" i="1"/>
  <c r="F95" i="1" l="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D59" i="15" s="1"/>
  <c r="E43" i="1"/>
  <c r="F27" i="1"/>
  <c r="E27" i="1"/>
  <c r="D51" i="15" l="1"/>
  <c r="C52" i="15"/>
  <c r="D56"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L82" i="15"/>
  <c r="G82" i="15" s="1"/>
  <c r="E82" i="15"/>
  <c r="J82" i="15" s="1"/>
  <c r="K82" i="15" s="1"/>
  <c r="N82" i="15"/>
  <c r="H82" i="15" s="1"/>
  <c r="C82" i="15"/>
  <c r="D82" i="15"/>
  <c r="N81" i="15"/>
  <c r="H81" i="15" s="1"/>
  <c r="C81" i="15"/>
  <c r="L81" i="15"/>
  <c r="G81" i="15" s="1"/>
  <c r="B81" i="15"/>
  <c r="E81" i="15"/>
  <c r="J81" i="15" s="1"/>
  <c r="K81" i="15" s="1"/>
  <c r="D81" i="15"/>
  <c r="B83" i="15" l="1"/>
  <c r="L83" i="15"/>
  <c r="G83" i="15" s="1"/>
  <c r="N83" i="15"/>
  <c r="H83" i="15" s="1"/>
  <c r="E83" i="15"/>
  <c r="J83" i="15" s="1"/>
  <c r="K83" i="15" s="1"/>
  <c r="C83" i="15"/>
  <c r="D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<sst xmlns="http://schemas.openxmlformats.org/spreadsheetml/2006/main" count="1328" uniqueCount="239">
  <si>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</si>
  <si>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</si>
  <si>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</si>
  <si>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</si>
  <si>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</si>
  <si>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</si>
  <si>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</si>
  <si>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</si>
  <si>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</si>
  <si>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</si>
  <si>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</si>
  <si>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</si>
  <si>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</si>
  <si>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</si>
  <si>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</si>
  <si>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</si>
  <si>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</si>
  <si>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</si>
  <si>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</si>
  <si>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</si>
  <si>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</si>
  <si>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</si>
  <si>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</si>
  <si>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</si>
  <si>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</si>
  <si>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</si>
  <si>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</si>
  <si>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</si>
  <si>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</si>
  <si>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</si>
  <si>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</si>
  <si>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</si>
  <si>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</si>
  <si>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</si>
  <si>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</si>
  <si>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</si>
  <si>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</si>
  <si>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</si>
  <si>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</si>
  <si>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</si>
  <si>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</si>
  <si>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</si>
  <si>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</si>
  <si>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</si>
  <si>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</si>
  <si>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</si>
  <si>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</si>
  <si>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</si>
  <si>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</si>
  <si>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</si>
  <si>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</si>
  <si>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</si>
  <si>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</si>
  <si>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</si>
  <si>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</si>
  <si>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</si>
  <si>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</si>
  <si>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</si>
  <si>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</si>
  <si>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</si>
  <si>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</si>
  <si>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</si>
  <si>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</si>
  <si>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</si>
  <si>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</si>
  <si>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</si>
  <si>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</si>
  <si>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</si>
  <si>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</si>
  <si>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</si>
  <si>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</si>
  <si>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</si>
  <si>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</si>
  <si>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</si>
  <si>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</si>
  <si>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</si>
  <si>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</si>
  <si>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</si>
  <si>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</si>
  <si>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</si>
  <si>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</si>
  <si>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</si>
  <si>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</si>
  <si>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</si>
  <si>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</si>
  <si>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</si>
  <si>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</si>
  <si>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</si>
  <si>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</si>
  <si>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</si>
  <si>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</si>
  <si>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</si>
  <si>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</si>
  <si>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</si>
  <si>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</si>
  <si>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</si>
  <si>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</si>
  <si>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</si>
  <si>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</si>
  <si>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</si>
  <si>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</si>
  <si>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</si>
  <si>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</si>
  <si>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</si>
  <si>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</si>
  <si>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</si>
  <si>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</si>
  <si>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</si>
  <si>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</si>
  <si>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</si>
  <si>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</si>
  <si>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</si>
  <si>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</si>
  <si>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</si>
  <si>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</si>
  <si>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</si>
  <si>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</si>
  <si>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</si>
  <si>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</si>
  <si>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</si>
  <si>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</si>
  <si>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</si>
  <si>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</si>
  <si>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</si>
  <si>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</si>
  <si>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</si>
  <si>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</si>
  <si>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</si>
  <si>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</si>
  <si>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</si>
  <si>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</si>
  <si>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</si>
  <si>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</si>
  <si>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</si>
  <si>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</si>
  <si>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</si>
  <si>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</si>
  <si>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</si>
  <si>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</si>
  <si>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</si>
  <si>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</si>
  <si>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</si>
  <si>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</si>
  <si>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</si>
  <si>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</si>
  <si>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</si>
  <si>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</si>
  <si>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</si>
  <si>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</si>
  <si>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</si>
  <si>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</si>
  <si>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</si>
  <si>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</si>
  <si>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20.1</t>
  </si>
  <si>
    <t>Friday 8pm AEST</t>
  </si>
  <si>
    <t>AaronC</t>
  </si>
  <si>
    <t>20.2</t>
  </si>
  <si>
    <t>Saturday 3pm AEST</t>
  </si>
  <si>
    <t>Adel Messih</t>
  </si>
  <si>
    <t>Titans</t>
  </si>
  <si>
    <t>20.3</t>
  </si>
  <si>
    <t>Saturday 5:30pm AEST</t>
  </si>
  <si>
    <t>Active Players</t>
  </si>
  <si>
    <t>Admireel</t>
  </si>
  <si>
    <t>20.4</t>
  </si>
  <si>
    <t>Saturday 7:35pm AEST</t>
  </si>
  <si>
    <t>Azza98</t>
  </si>
  <si>
    <t>20.5</t>
  </si>
  <si>
    <t>Sunday 2pm AEST</t>
  </si>
  <si>
    <t>Bart Simpson</t>
  </si>
  <si>
    <t>20.6</t>
  </si>
  <si>
    <t>Dolphins</t>
  </si>
  <si>
    <t>Sunday 4:05pm AEST</t>
  </si>
  <si>
    <t>Big Baba</t>
  </si>
  <si>
    <t>20.7</t>
  </si>
  <si>
    <t>Sunday 6:15pm AEST</t>
  </si>
  <si>
    <t>Big Moose</t>
  </si>
  <si>
    <t>20.8</t>
  </si>
  <si>
    <t xml:space="preserve">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</si>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</sst>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9">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7">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bgColor indexed="8"/>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bgColor theme="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0"/>
        </patternFill>
      </fill>
    </dxf>
    <dxf>
      <fill>
        <patternFill>
          <bgColor theme="1"/>
        </patternFill>
      </fill>
      <border>
        <right style="thin">
          <color auto="1"/>
        </right>
      </border>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DB43-4F3C-A4F1-606F27DAF9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DB43-4F3C-A4F1-606F27DAF989}"/>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E2A0-4C39-9FE0-CC20114BBA93}"/>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E2A0-4C39-9FE0-CC20114BBA93}"/>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E2A0-4C39-9FE0-CC20114BBA93}"/>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E2A0-4C39-9FE0-CC20114BBA93}"/>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E2A0-4C39-9FE0-CC20114BBA93}"/>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E2A0-4C39-9FE0-CC20114BBA93}"/>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1</c:v>
                </c:pt>
              </c:numCache>
            </c:numRef>
          </c:val>
          <c:extLst>
            <c:ext xmlns:c16="http://schemas.microsoft.com/office/drawing/2014/chart" uri="{C3380CC4-5D6E-409C-BE32-E72D297353CC}">
              <c16:uniqueId val="{00000006-E2A0-4C39-9FE0-CC20114BBA93}"/>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E2A0-4C39-9FE0-CC20114BBA93}"/>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E2A0-4C39-9FE0-CC20114BBA93}"/>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E2A0-4C39-9FE0-CC20114BBA93}"/>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3</c:v>
                </c:pt>
              </c:numCache>
            </c:numRef>
          </c:val>
          <c:extLst>
            <c:ext xmlns:c16="http://schemas.microsoft.com/office/drawing/2014/chart" uri="{C3380CC4-5D6E-409C-BE32-E72D297353CC}">
              <c16:uniqueId val="{0000000A-E2A0-4C39-9FE0-CC20114BBA93}"/>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E2A0-4C39-9FE0-CC20114BBA93}"/>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E2A0-4C39-9FE0-CC20114BBA93}"/>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53</c:v>
                </c:pt>
              </c:numCache>
            </c:numRef>
          </c:val>
          <c:extLst>
            <c:ext xmlns:c16="http://schemas.microsoft.com/office/drawing/2014/chart" uri="{C3380CC4-5D6E-409C-BE32-E72D297353CC}">
              <c16:uniqueId val="{0000000D-E2A0-4C39-9FE0-CC20114BBA93}"/>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E2A0-4C39-9FE0-CC20114BBA93}"/>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53</c:v>
                </c:pt>
              </c:numCache>
            </c:numRef>
          </c:val>
          <c:extLst>
            <c:ext xmlns:c16="http://schemas.microsoft.com/office/drawing/2014/chart" uri="{C3380CC4-5D6E-409C-BE32-E72D297353CC}">
              <c16:uniqueId val="{0000000F-E2A0-4C39-9FE0-CC20114BBA93}"/>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7</c:v>
                </c:pt>
              </c:numCache>
            </c:numRef>
          </c:val>
          <c:extLst>
            <c:ext xmlns:c16="http://schemas.microsoft.com/office/drawing/2014/chart" uri="{C3380CC4-5D6E-409C-BE32-E72D297353CC}">
              <c16:uniqueId val="{00000000-21C2-4D96-A70F-67B10CBFC93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50</c:v>
                </c:pt>
              </c:numCache>
            </c:numRef>
          </c:val>
          <c:extLst>
            <c:ext xmlns:c16="http://schemas.microsoft.com/office/drawing/2014/chart" uri="{C3380CC4-5D6E-409C-BE32-E72D297353CC}">
              <c16:uniqueId val="{00000001-21C2-4D96-A70F-67B10CBFC939}"/>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54</c:v>
                </c:pt>
              </c:numCache>
            </c:numRef>
          </c:val>
          <c:extLst>
            <c:ext xmlns:c16="http://schemas.microsoft.com/office/drawing/2014/chart" uri="{C3380CC4-5D6E-409C-BE32-E72D297353CC}">
              <c16:uniqueId val="{00000000-DEDE-4B0D-9D34-E9363CBDB03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3</c:v>
                </c:pt>
              </c:numCache>
            </c:numRef>
          </c:val>
          <c:extLst>
            <c:ext xmlns:c16="http://schemas.microsoft.com/office/drawing/2014/chart" uri="{C3380CC4-5D6E-409C-BE32-E72D297353CC}">
              <c16:uniqueId val="{00000001-DEDE-4B0D-9D34-E9363CBDB03F}"/>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26</c:v>
                </c:pt>
              </c:numCache>
            </c:numRef>
          </c:val>
          <c:extLst>
            <c:ext xmlns:c16="http://schemas.microsoft.com/office/drawing/2014/chart" uri="{C3380CC4-5D6E-409C-BE32-E72D297353CC}">
              <c16:uniqueId val="{00000000-F393-4EE0-92DE-10303941964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31</c:v>
                </c:pt>
              </c:numCache>
            </c:numRef>
          </c:val>
          <c:extLst>
            <c:ext xmlns:c16="http://schemas.microsoft.com/office/drawing/2014/chart" uri="{C3380CC4-5D6E-409C-BE32-E72D297353CC}">
              <c16:uniqueId val="{00000001-F393-4EE0-92DE-10303941964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50</c:v>
                </c:pt>
              </c:numCache>
            </c:numRef>
          </c:val>
          <c:extLst>
            <c:ext xmlns:c16="http://schemas.microsoft.com/office/drawing/2014/chart" uri="{C3380CC4-5D6E-409C-BE32-E72D297353CC}">
              <c16:uniqueId val="{00000000-E18E-4A4A-801B-8BCF11A327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7</c:v>
                </c:pt>
              </c:numCache>
            </c:numRef>
          </c:val>
          <c:extLst>
            <c:ext xmlns:c16="http://schemas.microsoft.com/office/drawing/2014/chart" uri="{C3380CC4-5D6E-409C-BE32-E72D297353CC}">
              <c16:uniqueId val="{00000001-E18E-4A4A-801B-8BCF11A32756}"/>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37</c:v>
                </c:pt>
              </c:numCache>
            </c:numRef>
          </c:val>
          <c:extLst>
            <c:ext xmlns:c16="http://schemas.microsoft.com/office/drawing/2014/chart" uri="{C3380CC4-5D6E-409C-BE32-E72D297353CC}">
              <c16:uniqueId val="{00000000-FE6A-44C0-ACF3-6A2248D4AA7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20</c:v>
                </c:pt>
              </c:numCache>
            </c:numRef>
          </c:val>
          <c:extLst>
            <c:ext xmlns:c16="http://schemas.microsoft.com/office/drawing/2014/chart" uri="{C3380CC4-5D6E-409C-BE32-E72D297353CC}">
              <c16:uniqueId val="{00000001-FE6A-44C0-ACF3-6A2248D4AA7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52</c:v>
                </c:pt>
              </c:numCache>
            </c:numRef>
          </c:val>
          <c:extLst>
            <c:ext xmlns:c16="http://schemas.microsoft.com/office/drawing/2014/chart" uri="{C3380CC4-5D6E-409C-BE32-E72D297353CC}">
              <c16:uniqueId val="{00000000-3B44-443B-AADB-8ED77BA9C1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c:v>
                </c:pt>
              </c:numCache>
            </c:numRef>
          </c:val>
          <c:extLst>
            <c:ext xmlns:c16="http://schemas.microsoft.com/office/drawing/2014/chart" uri="{C3380CC4-5D6E-409C-BE32-E72D297353CC}">
              <c16:uniqueId val="{00000001-3B44-443B-AADB-8ED77BA9C154}"/>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c:v>
                </c:pt>
              </c:numCache>
            </c:numRef>
          </c:val>
          <c:extLst>
            <c:ext xmlns:c16="http://schemas.microsoft.com/office/drawing/2014/chart" uri="{C3380CC4-5D6E-409C-BE32-E72D297353CC}">
              <c16:uniqueId val="{00000000-ABB3-42F0-9CCD-E3E8160CBCD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BB3-42F0-9CCD-E3E8160CBCD8}"/>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53</c:v>
                </c:pt>
              </c:numCache>
            </c:numRef>
          </c:val>
          <c:extLst>
            <c:ext xmlns:c16="http://schemas.microsoft.com/office/drawing/2014/chart" uri="{C3380CC4-5D6E-409C-BE32-E72D297353CC}">
              <c16:uniqueId val="{00000002-ABB3-42F0-9CCD-E3E8160CBCD8}"/>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57</c:v>
                </c:pt>
              </c:numCache>
            </c:numRef>
          </c:val>
          <c:extLst>
            <c:ext xmlns:c16="http://schemas.microsoft.com/office/drawing/2014/chart" uri="{C3380CC4-5D6E-409C-BE32-E72D297353CC}">
              <c16:uniqueId val="{00000000-72F7-4966-9BC6-698B69A05E23}"/>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57</c:v>
                </c:pt>
              </c:numCache>
            </c:numRef>
          </c:val>
          <c:extLst>
            <c:ext xmlns:c16="http://schemas.microsoft.com/office/drawing/2014/chart" uri="{C3380CC4-5D6E-409C-BE32-E72D297353CC}">
              <c16:uniqueId val="{00000001-72F7-4966-9BC6-698B69A05E23}"/>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72F7-4966-9BC6-698B69A05E23}"/>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1.png"/><Relationship Id="rId3" Type="http://schemas.openxmlformats.org/officeDocument/2006/relationships/image" Target="../media/image8.png"/><Relationship Id="rId7" Type="http://schemas.openxmlformats.org/officeDocument/2006/relationships/image" Target="../media/image19.png"/><Relationship Id="rId12" Type="http://schemas.openxmlformats.org/officeDocument/2006/relationships/image" Target="../media/image3.png"/><Relationship Id="rId17" Type="http://schemas.openxmlformats.org/officeDocument/2006/relationships/image" Target="../media/image13.png"/><Relationship Id="rId2" Type="http://schemas.openxmlformats.org/officeDocument/2006/relationships/image" Target="../media/image5.png"/><Relationship Id="rId16" Type="http://schemas.openxmlformats.org/officeDocument/2006/relationships/image" Target="../media/image16.png"/><Relationship Id="rId1" Type="http://schemas.openxmlformats.org/officeDocument/2006/relationships/image" Target="../media/image6.png"/><Relationship Id="rId6" Type="http://schemas.openxmlformats.org/officeDocument/2006/relationships/image" Target="../media/image18.png"/><Relationship Id="rId11" Type="http://schemas.openxmlformats.org/officeDocument/2006/relationships/image" Target="../media/image10.png"/><Relationship Id="rId5" Type="http://schemas.openxmlformats.org/officeDocument/2006/relationships/image" Target="../media/image15.png"/><Relationship Id="rId15" Type="http://schemas.openxmlformats.org/officeDocument/2006/relationships/image" Target="../media/image4.png"/><Relationship Id="rId10" Type="http://schemas.openxmlformats.org/officeDocument/2006/relationships/image" Target="../media/image12.png"/><Relationship Id="rId4" Type="http://schemas.openxmlformats.org/officeDocument/2006/relationships/image" Target="../media/image17.png"/><Relationship Id="rId9" Type="http://schemas.openxmlformats.org/officeDocument/2006/relationships/image" Target="../media/image7.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70032" y="184147"/>
          <a:ext cx="2639130"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95250</xdr:colOff>
      <xdr:row>4</xdr:row>
      <xdr:rowOff>19050</xdr:rowOff>
    </xdr:from>
    <xdr:to>
      <xdr:col>7</xdr:col>
      <xdr:colOff>546100</xdr:colOff>
      <xdr:row>6</xdr:row>
      <xdr:rowOff>152400</xdr:rowOff>
    </xdr:to>
    <xdr:pic>
      <xdr:nvPicPr>
        <xdr:cNvPr id="12" name="Picture 11">
          <a:extLst>
            <a:ext uri="{FF2B5EF4-FFF2-40B4-BE49-F238E27FC236}">
              <a16:creationId xmlns:a16="http://schemas.microsoft.com/office/drawing/2014/main" id="{DC198B4A-2B70-4130-9AFF-194F45A4273C}"/>
            </a:ext>
          </a:extLst>
        </xdr:cNvPr>
        <xdr:cNvPicPr>
          <a:picLocks noChangeAspect="1"/>
        </xdr:cNvPicPr>
      </xdr:nvPicPr>
      <xdr:blipFill>
        <a:blip xmlns:r="http://schemas.openxmlformats.org/officeDocument/2006/relationships" r:embed="rId14"/>
        <a:stretch>
          <a:fillRect/>
        </a:stretch>
      </xdr:blipFill>
      <xdr:spPr>
        <a:xfrm>
          <a:off x="95250" y="2518410"/>
          <a:ext cx="450850" cy="468630"/>
        </a:xfrm>
        <a:prstGeom prst="rect">
          <a:avLst/>
        </a:prstGeom>
      </xdr:spPr>
    </xdr:pic>
    <xdr:clientData/>
  </xdr:twoCellAnchor>
  <xdr:twoCellAnchor>
    <xdr:from>
      <xdr:col>7</xdr:col>
      <xdr:colOff>88900</xdr:colOff>
      <xdr:row>7</xdr:row>
      <xdr:rowOff>25400</xdr:rowOff>
    </xdr:from>
    <xdr:to>
      <xdr:col>7</xdr:col>
      <xdr:colOff>520700</xdr:colOff>
      <xdr:row>9</xdr:row>
      <xdr:rowOff>139700</xdr:rowOff>
    </xdr:to>
    <xdr:pic>
      <xdr:nvPicPr>
        <xdr:cNvPr id="13" name="Picture 12">
          <a:extLst>
            <a:ext uri="{FF2B5EF4-FFF2-40B4-BE49-F238E27FC236}">
              <a16:creationId xmlns:a16="http://schemas.microsoft.com/office/drawing/2014/main" id="{D78CBB81-9E8C-46D7-9692-95ADFF3E8905}"/>
            </a:ext>
          </a:extLst>
        </xdr:cNvPr>
        <xdr:cNvPicPr>
          <a:picLocks noChangeAspect="1"/>
        </xdr:cNvPicPr>
      </xdr:nvPicPr>
      <xdr:blipFill>
        <a:blip xmlns:r="http://schemas.openxmlformats.org/officeDocument/2006/relationships" r:embed="rId15"/>
        <a:stretch>
          <a:fillRect/>
        </a:stretch>
      </xdr:blipFill>
      <xdr:spPr>
        <a:xfrm>
          <a:off x="690880" y="3027680"/>
          <a:ext cx="431800" cy="419100"/>
        </a:xfrm>
        <a:prstGeom prst="rect">
          <a:avLst/>
        </a:prstGeom>
      </xdr:spPr>
    </xdr:pic>
    <xdr:clientData/>
  </xdr:twoCellAnchor>
  <xdr:twoCellAnchor>
    <xdr:from>
      <xdr:col>7</xdr:col>
      <xdr:colOff>95250</xdr:colOff>
      <xdr:row>13</xdr:row>
      <xdr:rowOff>19050</xdr:rowOff>
    </xdr:from>
    <xdr:to>
      <xdr:col>7</xdr:col>
      <xdr:colOff>539750</xdr:colOff>
      <xdr:row>15</xdr:row>
      <xdr:rowOff>146050</xdr:rowOff>
    </xdr:to>
    <xdr:pic>
      <xdr:nvPicPr>
        <xdr:cNvPr id="14" name="Picture 90">
          <a:extLst>
            <a:ext uri="{FF2B5EF4-FFF2-40B4-BE49-F238E27FC236}">
              <a16:creationId xmlns:a16="http://schemas.microsoft.com/office/drawing/2014/main" id="{1DBADF69-379A-4B7B-B6F9-66329A95EB3F}"/>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16</xdr:row>
      <xdr:rowOff>25400</xdr:rowOff>
    </xdr:from>
    <xdr:to>
      <xdr:col>7</xdr:col>
      <xdr:colOff>577850</xdr:colOff>
      <xdr:row>18</xdr:row>
      <xdr:rowOff>139700</xdr:rowOff>
    </xdr:to>
    <xdr:pic>
      <xdr:nvPicPr>
        <xdr:cNvPr id="15" name="Picture 89">
          <a:extLst>
            <a:ext uri="{FF2B5EF4-FFF2-40B4-BE49-F238E27FC236}">
              <a16:creationId xmlns:a16="http://schemas.microsoft.com/office/drawing/2014/main" id="{C1216D32-6CE4-490D-81F7-C698441572B3}"/>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22</xdr:row>
      <xdr:rowOff>31750</xdr:rowOff>
    </xdr:from>
    <xdr:to>
      <xdr:col>7</xdr:col>
      <xdr:colOff>539750</xdr:colOff>
      <xdr:row>24</xdr:row>
      <xdr:rowOff>139700</xdr:rowOff>
    </xdr:to>
    <xdr:pic>
      <xdr:nvPicPr>
        <xdr:cNvPr id="16" name="Picture 99">
          <a:extLst>
            <a:ext uri="{FF2B5EF4-FFF2-40B4-BE49-F238E27FC236}">
              <a16:creationId xmlns:a16="http://schemas.microsoft.com/office/drawing/2014/main" id="{BC18E299-C75C-4CFA-8038-2FC573C4EFF2}"/>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25</xdr:row>
      <xdr:rowOff>25400</xdr:rowOff>
    </xdr:from>
    <xdr:to>
      <xdr:col>7</xdr:col>
      <xdr:colOff>539750</xdr:colOff>
      <xdr:row>27</xdr:row>
      <xdr:rowOff>139700</xdr:rowOff>
    </xdr:to>
    <xdr:pic>
      <xdr:nvPicPr>
        <xdr:cNvPr id="17" name="Picture 91">
          <a:extLst>
            <a:ext uri="{FF2B5EF4-FFF2-40B4-BE49-F238E27FC236}">
              <a16:creationId xmlns:a16="http://schemas.microsoft.com/office/drawing/2014/main" id="{8934F03D-7E5F-4E8A-AFBA-C0A560E2D96E}"/>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12700</xdr:rowOff>
    </xdr:from>
    <xdr:to>
      <xdr:col>7</xdr:col>
      <xdr:colOff>546100</xdr:colOff>
      <xdr:row>33</xdr:row>
      <xdr:rowOff>146050</xdr:rowOff>
    </xdr:to>
    <xdr:pic>
      <xdr:nvPicPr>
        <xdr:cNvPr id="18" name="Picture 98">
          <a:extLst>
            <a:ext uri="{FF2B5EF4-FFF2-40B4-BE49-F238E27FC236}">
              <a16:creationId xmlns:a16="http://schemas.microsoft.com/office/drawing/2014/main" id="{6360E2B1-9CA0-4788-A5AF-7DFD4B088A28}"/>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34</xdr:row>
      <xdr:rowOff>19050</xdr:rowOff>
    </xdr:from>
    <xdr:to>
      <xdr:col>7</xdr:col>
      <xdr:colOff>558800</xdr:colOff>
      <xdr:row>36</xdr:row>
      <xdr:rowOff>146050</xdr:rowOff>
    </xdr:to>
    <xdr:pic>
      <xdr:nvPicPr>
        <xdr:cNvPr id="24" name="Picture 39">
          <a:extLst>
            <a:ext uri="{FF2B5EF4-FFF2-40B4-BE49-F238E27FC236}">
              <a16:creationId xmlns:a16="http://schemas.microsoft.com/office/drawing/2014/main" id="{44D8C168-EBF2-400C-843C-507169B4B7D1}"/>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4</xdr:row>
      <xdr:rowOff>31750</xdr:rowOff>
    </xdr:from>
    <xdr:to>
      <xdr:col>13</xdr:col>
      <xdr:colOff>533400</xdr:colOff>
      <xdr:row>6</xdr:row>
      <xdr:rowOff>139700</xdr:rowOff>
    </xdr:to>
    <xdr:pic>
      <xdr:nvPicPr>
        <xdr:cNvPr id="25" name="Picture 24">
          <a:extLst>
            <a:ext uri="{FF2B5EF4-FFF2-40B4-BE49-F238E27FC236}">
              <a16:creationId xmlns:a16="http://schemas.microsoft.com/office/drawing/2014/main" id="{2B4DAB2F-1E33-4361-8B9E-460F73C6E8E8}"/>
            </a:ext>
          </a:extLst>
        </xdr:cNvPr>
        <xdr:cNvPicPr>
          <a:picLocks noChangeAspect="1"/>
        </xdr:cNvPicPr>
      </xdr:nvPicPr>
      <xdr:blipFill>
        <a:blip xmlns:r="http://schemas.openxmlformats.org/officeDocument/2006/relationships" r:embed="rId22"/>
        <a:stretch>
          <a:fillRect/>
        </a:stretch>
      </xdr:blipFill>
      <xdr:spPr>
        <a:xfrm>
          <a:off x="709930" y="2531110"/>
          <a:ext cx="425450" cy="443230"/>
        </a:xfrm>
        <a:prstGeom prst="rect">
          <a:avLst/>
        </a:prstGeom>
      </xdr:spPr>
    </xdr:pic>
    <xdr:clientData/>
  </xdr:twoCellAnchor>
  <xdr:twoCellAnchor>
    <xdr:from>
      <xdr:col>13</xdr:col>
      <xdr:colOff>95250</xdr:colOff>
      <xdr:row>7</xdr:row>
      <xdr:rowOff>19050</xdr:rowOff>
    </xdr:from>
    <xdr:to>
      <xdr:col>13</xdr:col>
      <xdr:colOff>539750</xdr:colOff>
      <xdr:row>9</xdr:row>
      <xdr:rowOff>146050</xdr:rowOff>
    </xdr:to>
    <xdr:pic>
      <xdr:nvPicPr>
        <xdr:cNvPr id="26" name="Picture 100">
          <a:extLst>
            <a:ext uri="{FF2B5EF4-FFF2-40B4-BE49-F238E27FC236}">
              <a16:creationId xmlns:a16="http://schemas.microsoft.com/office/drawing/2014/main" id="{36C409F9-825A-40C4-A41A-D0BC21CA3AB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13</xdr:row>
      <xdr:rowOff>25400</xdr:rowOff>
    </xdr:from>
    <xdr:to>
      <xdr:col>13</xdr:col>
      <xdr:colOff>552450</xdr:colOff>
      <xdr:row>15</xdr:row>
      <xdr:rowOff>133350</xdr:rowOff>
    </xdr:to>
    <xdr:pic>
      <xdr:nvPicPr>
        <xdr:cNvPr id="27" name="Picture 35">
          <a:extLst>
            <a:ext uri="{FF2B5EF4-FFF2-40B4-BE49-F238E27FC236}">
              <a16:creationId xmlns:a16="http://schemas.microsoft.com/office/drawing/2014/main" id="{F138A79B-3750-4999-BAC5-C899B5522371}"/>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16</xdr:row>
      <xdr:rowOff>19051</xdr:rowOff>
    </xdr:from>
    <xdr:to>
      <xdr:col>13</xdr:col>
      <xdr:colOff>520700</xdr:colOff>
      <xdr:row>18</xdr:row>
      <xdr:rowOff>139700</xdr:rowOff>
    </xdr:to>
    <xdr:pic>
      <xdr:nvPicPr>
        <xdr:cNvPr id="28" name="Picture 27">
          <a:extLst>
            <a:ext uri="{FF2B5EF4-FFF2-40B4-BE49-F238E27FC236}">
              <a16:creationId xmlns:a16="http://schemas.microsoft.com/office/drawing/2014/main" id="{843AF8AA-C2A4-4718-A6FC-9279211FD472}"/>
            </a:ext>
          </a:extLst>
        </xdr:cNvPr>
        <xdr:cNvPicPr>
          <a:picLocks noChangeAspect="1"/>
        </xdr:cNvPicPr>
      </xdr:nvPicPr>
      <xdr:blipFill>
        <a:blip xmlns:r="http://schemas.openxmlformats.org/officeDocument/2006/relationships" r:embed="rId25"/>
        <a:stretch>
          <a:fillRect/>
        </a:stretch>
      </xdr:blipFill>
      <xdr:spPr>
        <a:xfrm>
          <a:off x="82551" y="3021331"/>
          <a:ext cx="438149" cy="425449"/>
        </a:xfrm>
        <a:prstGeom prst="rect">
          <a:avLst/>
        </a:prstGeom>
      </xdr:spPr>
    </xdr:pic>
    <xdr:clientData/>
  </xdr:twoCellAnchor>
  <xdr:twoCellAnchor>
    <xdr:from>
      <xdr:col>13</xdr:col>
      <xdr:colOff>95250</xdr:colOff>
      <xdr:row>22</xdr:row>
      <xdr:rowOff>19050</xdr:rowOff>
    </xdr:from>
    <xdr:to>
      <xdr:col>13</xdr:col>
      <xdr:colOff>546100</xdr:colOff>
      <xdr:row>24</xdr:row>
      <xdr:rowOff>152400</xdr:rowOff>
    </xdr:to>
    <xdr:pic>
      <xdr:nvPicPr>
        <xdr:cNvPr id="29" name="Picture 93">
          <a:extLst>
            <a:ext uri="{FF2B5EF4-FFF2-40B4-BE49-F238E27FC236}">
              <a16:creationId xmlns:a16="http://schemas.microsoft.com/office/drawing/2014/main" id="{D970BDF8-C8C9-49DE-9721-FFB8F89247E9}"/>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25</xdr:row>
      <xdr:rowOff>12700</xdr:rowOff>
    </xdr:from>
    <xdr:to>
      <xdr:col>13</xdr:col>
      <xdr:colOff>514350</xdr:colOff>
      <xdr:row>27</xdr:row>
      <xdr:rowOff>139700</xdr:rowOff>
    </xdr:to>
    <xdr:pic>
      <xdr:nvPicPr>
        <xdr:cNvPr id="30" name="Picture 29">
          <a:extLst>
            <a:ext uri="{FF2B5EF4-FFF2-40B4-BE49-F238E27FC236}">
              <a16:creationId xmlns:a16="http://schemas.microsoft.com/office/drawing/2014/main" id="{51CC019D-E108-40FB-BE98-F67063EA25CD}"/>
            </a:ext>
          </a:extLst>
        </xdr:cNvPr>
        <xdr:cNvPicPr>
          <a:picLocks noChangeAspect="1"/>
        </xdr:cNvPicPr>
      </xdr:nvPicPr>
      <xdr:blipFill>
        <a:blip xmlns:r="http://schemas.openxmlformats.org/officeDocument/2006/relationships" r:embed="rId27"/>
        <a:stretch>
          <a:fillRect/>
        </a:stretch>
      </xdr:blipFill>
      <xdr:spPr>
        <a:xfrm>
          <a:off x="671830" y="3472180"/>
          <a:ext cx="444500" cy="462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2" t="str">
        <f>"Round "&amp;Y22&amp;" Statistics"</f>
        <v>Round 20 Statistics</v>
      </c>
      <c r="C2" s="123"/>
      <c r="D2" s="123"/>
      <c r="E2" s="123"/>
      <c r="F2" s="123"/>
      <c r="G2" s="123"/>
      <c r="H2" s="123"/>
      <c r="I2" s="123"/>
      <c r="J2" s="123"/>
      <c r="K2" s="123"/>
      <c r="L2" s="123"/>
      <c r="M2" s="123"/>
      <c r="N2" s="123"/>
      <c r="O2" s="123"/>
      <c r="P2" s="123"/>
      <c r="Q2" s="123"/>
      <c r="R2" s="54"/>
      <c r="S2" s="55"/>
      <c r="AI2" s="115" t="s">
        <v>91</v>
      </c>
    </row>
    <row r="3" spans="1:35" x14ac:dyDescent="0.3">
      <c r="B3" s="27"/>
      <c r="C3" s="19"/>
      <c r="D3" s="18"/>
      <c r="E3" s="18"/>
      <c r="F3" s="18"/>
      <c r="R3" s="50"/>
      <c r="AG3" s="59">
        <v>12</v>
      </c>
      <c r="AH3" s="59">
        <f>COUNTIF(Engine!AL$1:AL$90,AG3)</f>
        <v>0</v>
      </c>
      <c r="AI3" s="115" t="s">
        <v>92</v>
      </c>
    </row>
    <row r="4" spans="1:35" x14ac:dyDescent="0.3">
      <c r="B4" s="27"/>
      <c r="C4" s="124" t="s">
        <v>23</v>
      </c>
      <c r="D4" s="124"/>
      <c r="E4" s="18"/>
      <c r="F4" s="18"/>
      <c r="G4" s="34" t="str">
        <f>IF($AI$23=1,Data!Q3,"Standouts")</f>
        <v>Friday 8pm AEST</v>
      </c>
      <c r="H4" s="29"/>
      <c r="I4" s="29"/>
      <c r="J4" s="29"/>
      <c r="K4" s="29"/>
      <c r="L4" s="52"/>
      <c r="M4" s="98" t="str">
        <f>IF($AI$23=1,Data!Q7,"Standouts")</f>
        <v>Sunday 2pm AEST</v>
      </c>
      <c r="N4" s="98"/>
      <c r="O4" s="98"/>
      <c r="P4" s="98"/>
      <c r="Q4" s="98"/>
      <c r="R4" s="50"/>
      <c r="AG4" s="59">
        <v>11</v>
      </c>
      <c r="AH4" s="59">
        <f>COUNTIF(Engine!AL$1:AL$90,AG4)</f>
        <v>53</v>
      </c>
      <c r="AI4" s="115" t="s">
        <v>93</v>
      </c>
    </row>
    <row r="5" spans="1:35" x14ac:dyDescent="0.3">
      <c r="B5" s="27"/>
      <c r="C5" s="124"/>
      <c r="D5" s="124"/>
      <c r="E5" s="18"/>
      <c r="F5" s="18"/>
      <c r="G5" s="28"/>
      <c r="H5" s="125"/>
      <c r="K5" s="29"/>
      <c r="M5" s="99"/>
      <c r="N5" s="125"/>
      <c r="Q5" s="98"/>
      <c r="R5" s="50"/>
      <c r="AG5" s="59">
        <v>10</v>
      </c>
      <c r="AH5" s="59">
        <f>COUNTIF(Engine!AL$1:AL$90,AG5)</f>
        <v>0</v>
      </c>
      <c r="AI5" s="115" t="s">
        <v>94</v>
      </c>
    </row>
    <row r="6" spans="1:35" x14ac:dyDescent="0.3">
      <c r="B6" s="27"/>
      <c r="C6" s="20" t="s">
        <v>24</v>
      </c>
      <c r="D6" s="18"/>
      <c r="E6" s="18"/>
      <c r="F6" s="18"/>
      <c r="G6" s="28"/>
      <c r="H6" s="125"/>
      <c r="K6" s="31" t="str">
        <f>ROUND(AE14,1)&amp;"%"</f>
        <v>93%</v>
      </c>
      <c r="M6" s="99"/>
      <c r="N6" s="125"/>
      <c r="Q6" s="100" t="str">
        <f>IF(T23&lt;5,"",ROUND(AE10,1)&amp;"%")</f>
        <v>54.4%</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0</v>
      </c>
    </row>
    <row r="7" spans="1:35" ht="12.75" customHeight="1" x14ac:dyDescent="0.3">
      <c r="B7" s="27"/>
      <c r="C7" s="20" t="s">
        <v>35</v>
      </c>
      <c r="D7" s="18"/>
      <c r="E7" s="18"/>
      <c r="F7" s="18"/>
      <c r="G7" s="53"/>
      <c r="H7" s="125"/>
      <c r="I7" s="52"/>
      <c r="J7" s="52"/>
      <c r="K7" s="51"/>
      <c r="M7" s="99"/>
      <c r="N7" s="125"/>
      <c r="O7" s="52"/>
      <c r="P7" s="52"/>
      <c r="Q7" s="100"/>
      <c r="R7" s="50"/>
      <c r="S7" s="59">
        <v>8</v>
      </c>
      <c r="T7" s="59" t="str">
        <f>IF(T23&lt;8,"",COUNTIF(Engine!P1:P90,$AA$24))</f>
        <v/>
      </c>
      <c r="U7" s="59" t="str">
        <f>IF(T23&lt;8,"",COUNTIF(Engine!P1:P90,$AA$25))</f>
        <v/>
      </c>
      <c r="V7" s="59" t="str">
        <f>IF(T23&lt;8,"",COUNTIF(Engine!Q1:Q90,AA24))</f>
        <v/>
      </c>
      <c r="W7" s="59" t="str">
        <f>IF(T23&lt;8,"",COUNTIF(Engine!Q1:Q90,AA25))</f>
        <v/>
      </c>
      <c r="X7" s="59" t="str">
        <f>IF(T23&lt;8,"",T7/($V$22)*100)</f>
        <v/>
      </c>
      <c r="Y7" s="59" t="str">
        <f>IF(T23&lt;8,"",100-X7)</f>
        <v/>
      </c>
      <c r="Z7" s="59" t="str">
        <f>IF(T23&lt;8,"",V7/$V$23*100)</f>
        <v/>
      </c>
      <c r="AA7" s="59" t="str">
        <f>IF(T23&lt;8,"",W7/$V$23*100)</f>
        <v/>
      </c>
      <c r="AC7" s="59" t="str">
        <f t="shared" ref="AC7:AD14" si="0">IF($AI$23=1,T7,V7)</f>
        <v/>
      </c>
      <c r="AD7" s="59" t="str">
        <f t="shared" si="0"/>
        <v/>
      </c>
      <c r="AE7" s="59" t="str">
        <f t="shared" ref="AE7:AF14" si="1">IF($AI$23=1,X7,Z7)</f>
        <v/>
      </c>
      <c r="AF7" s="59" t="str">
        <f t="shared" si="1"/>
        <v/>
      </c>
      <c r="AG7" s="59">
        <v>8</v>
      </c>
      <c r="AH7" s="59">
        <f>COUNTIF(Engine!AL$1:AL$90,AG7)</f>
        <v>3</v>
      </c>
      <c r="AI7" s="115" t="s">
        <v>101</v>
      </c>
    </row>
    <row r="8" spans="1:35" ht="12.75" customHeight="1" x14ac:dyDescent="0.3">
      <c r="B8" s="36"/>
      <c r="C8" s="19"/>
      <c r="D8" s="18"/>
      <c r="E8" s="18"/>
      <c r="F8" s="18"/>
      <c r="G8" s="28"/>
      <c r="H8" s="125"/>
      <c r="K8" s="29"/>
      <c r="M8" s="99"/>
      <c r="N8" s="126"/>
      <c r="Q8" s="100"/>
      <c r="R8" s="127"/>
      <c r="S8" s="59">
        <v>7</v>
      </c>
      <c r="T8" s="59">
        <f>IF(T23&lt;7,"",COUNTIF(Engine!O1:O90,$Z$24))</f>
        <v>50</v>
      </c>
      <c r="U8" s="59">
        <f>IF(T23&lt;7,"",COUNTIF(Engine!O1:O90,$Z$25))</f>
        <v>7</v>
      </c>
      <c r="V8" s="59">
        <f>IF(T23&lt;7,"",COUNTIF(Engine!Q1:Q90,Z24))</f>
        <v>2</v>
      </c>
      <c r="W8" s="59">
        <f>IF(T23&lt;7,"",COUNTIF(Engine!Q1:Q90,Z25))</f>
        <v>0</v>
      </c>
      <c r="X8" s="59">
        <f>IF(T23&lt;7,"",T8/($V$22)*100)</f>
        <v>87.719298245614027</v>
      </c>
      <c r="Y8" s="59">
        <f>IF(T23&lt;7,"",100-X8)</f>
        <v>12.280701754385973</v>
      </c>
      <c r="Z8" s="59">
        <f>IF(T23&lt;7,"",V8/$V$23*100)</f>
        <v>3.5087719298245612</v>
      </c>
      <c r="AA8" s="59">
        <f>IF(T23&lt;7,"",W8/$V$23*100)</f>
        <v>0</v>
      </c>
      <c r="AC8" s="59">
        <f t="shared" si="0"/>
        <v>50</v>
      </c>
      <c r="AD8" s="59">
        <f t="shared" si="0"/>
        <v>7</v>
      </c>
      <c r="AE8" s="59">
        <f t="shared" si="1"/>
        <v>87.719298245614027</v>
      </c>
      <c r="AF8" s="59">
        <f t="shared" si="1"/>
        <v>12.280701754385973</v>
      </c>
      <c r="AG8" s="59">
        <v>7</v>
      </c>
      <c r="AH8" s="59">
        <f>COUNTIF(Engine!AL$1:AL$90,AG8)</f>
        <v>0</v>
      </c>
      <c r="AI8" s="115" t="s">
        <v>91</v>
      </c>
    </row>
    <row r="9" spans="1:35" ht="12.75" customHeight="1" x14ac:dyDescent="0.3">
      <c r="B9" s="36"/>
      <c r="C9" s="19"/>
      <c r="D9" s="18"/>
      <c r="E9" s="18"/>
      <c r="F9" s="18"/>
      <c r="G9" s="28"/>
      <c r="H9" s="125"/>
      <c r="K9" s="31" t="str">
        <f>ROUND(AF14,1)&amp;"%"</f>
        <v>7%</v>
      </c>
      <c r="L9" s="33"/>
      <c r="M9" s="99"/>
      <c r="N9" s="126"/>
      <c r="Q9" s="100" t="str">
        <f>IF(T23&lt;5,"",ROUND(AF10,1)&amp;"%")</f>
        <v>45.6%</v>
      </c>
      <c r="R9" s="127"/>
      <c r="S9" s="59">
        <v>6</v>
      </c>
      <c r="T9" s="59">
        <f>IF(T23&lt;6,"",COUNTIF(Engine!N1:N90,$Y$24))</f>
        <v>3</v>
      </c>
      <c r="U9" s="59">
        <f>IF(T23&lt;6,"",COUNTIF(Engine!N1:N90,$Y$25))</f>
        <v>54</v>
      </c>
      <c r="V9" s="59">
        <f>IF(T23&lt;6,"",COUNTIF(Engine!Q1:Q90,Y24))</f>
        <v>0</v>
      </c>
      <c r="W9" s="59">
        <f>IF(T23&lt;6,"",COUNTIF(Engine!Q1:Q90,Y25))</f>
        <v>21</v>
      </c>
      <c r="X9" s="59">
        <f>IF(T23&lt;6,"",T9/($V$22)*100)</f>
        <v>5.2631578947368416</v>
      </c>
      <c r="Y9" s="59">
        <f>IF(T23&lt;6,"",100-X9)</f>
        <v>94.736842105263165</v>
      </c>
      <c r="Z9" s="59">
        <f>IF(T23&lt;6,"",V9/$V$23*100)</f>
        <v>0</v>
      </c>
      <c r="AA9" s="59">
        <f>IF(T23&lt;6,"",W9/$V$23*100)</f>
        <v>36.84210526315789</v>
      </c>
      <c r="AC9" s="59">
        <f t="shared" si="0"/>
        <v>3</v>
      </c>
      <c r="AD9" s="59">
        <f t="shared" si="0"/>
        <v>54</v>
      </c>
      <c r="AE9" s="59">
        <f t="shared" si="1"/>
        <v>5.2631578947368416</v>
      </c>
      <c r="AF9" s="59">
        <f t="shared" si="1"/>
        <v>94.736842105263165</v>
      </c>
      <c r="AG9" s="59">
        <v>6</v>
      </c>
      <c r="AH9" s="59">
        <f>COUNTIF(Engine!AL$1:AL$90,AG9)</f>
        <v>0</v>
      </c>
      <c r="AI9" s="115" t="s">
        <v>92</v>
      </c>
    </row>
    <row r="10" spans="1:35" ht="12.75" customHeight="1" x14ac:dyDescent="0.3">
      <c r="B10" s="36"/>
      <c r="C10" s="49" t="s">
        <v>36</v>
      </c>
      <c r="D10" s="37"/>
      <c r="E10" s="37"/>
      <c r="F10" s="18"/>
      <c r="G10" s="28"/>
      <c r="H10" s="125"/>
      <c r="K10" s="29"/>
      <c r="L10" s="16"/>
      <c r="M10" s="99"/>
      <c r="N10" s="126"/>
      <c r="Q10" s="100"/>
      <c r="R10" s="127"/>
      <c r="S10" s="59">
        <v>5</v>
      </c>
      <c r="T10" s="59">
        <f>IF(T23&lt;5,"",COUNTIF(Engine!M1:M90,$X$24))</f>
        <v>31</v>
      </c>
      <c r="U10" s="59">
        <f>IF(T23&lt;5,"",COUNTIF(Engine!M1:M90,$X$25))</f>
        <v>26</v>
      </c>
      <c r="V10" s="59">
        <f>IF(T23&lt;5,"",COUNTIF(Engine!Q1:Q90,X24))</f>
        <v>0</v>
      </c>
      <c r="W10" s="59">
        <f>IF(T23&lt;5,"",COUNTIF(Engine!Q1:Q90,X25))</f>
        <v>0</v>
      </c>
      <c r="X10" s="59">
        <f>IF(T23&lt;5,"",T10/($V$22)*100)</f>
        <v>54.385964912280706</v>
      </c>
      <c r="Y10" s="59">
        <f>IF(T23&lt;5,"",100-X10)</f>
        <v>45.614035087719294</v>
      </c>
      <c r="Z10" s="59">
        <f>IF(T23&lt;5,"",V10/$V$23*100)</f>
        <v>0</v>
      </c>
      <c r="AA10" s="59">
        <f>IF(T23&lt;5,"",W10/$V$23*100)</f>
        <v>0</v>
      </c>
      <c r="AC10" s="59">
        <f t="shared" si="0"/>
        <v>31</v>
      </c>
      <c r="AD10" s="59">
        <f t="shared" si="0"/>
        <v>26</v>
      </c>
      <c r="AE10" s="59">
        <f t="shared" si="1"/>
        <v>54.385964912280706</v>
      </c>
      <c r="AF10" s="59">
        <f t="shared" si="1"/>
        <v>45.614035087719294</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7"/>
      <c r="S11" s="59">
        <v>4</v>
      </c>
      <c r="T11" s="59">
        <f>COUNTIF(Engine!L1:L90,$W24)</f>
        <v>7</v>
      </c>
      <c r="U11" s="59">
        <f>COUNTIF(Engine!L1:L90,$W$25)</f>
        <v>50</v>
      </c>
      <c r="V11" s="59">
        <f>COUNTIF(Engine!Q1:Q90,W24)</f>
        <v>0</v>
      </c>
      <c r="W11" s="59">
        <f>COUNTIF(Engine!Q1:Q90,W25)</f>
        <v>2</v>
      </c>
      <c r="X11" s="59">
        <f>T11/($V$22)*100</f>
        <v>12.280701754385964</v>
      </c>
      <c r="Y11" s="59">
        <f>100-X11</f>
        <v>87.719298245614041</v>
      </c>
      <c r="Z11" s="59">
        <f t="shared" ref="Z11:AA14" si="2">V11/$V$23*100</f>
        <v>0</v>
      </c>
      <c r="AA11" s="59">
        <f t="shared" si="2"/>
        <v>3.5087719298245612</v>
      </c>
      <c r="AC11" s="59">
        <f t="shared" si="0"/>
        <v>7</v>
      </c>
      <c r="AD11" s="59">
        <f t="shared" si="0"/>
        <v>50</v>
      </c>
      <c r="AE11" s="59">
        <f t="shared" si="1"/>
        <v>12.280701754385964</v>
      </c>
      <c r="AF11" s="59">
        <f t="shared" si="1"/>
        <v>87.719298245614041</v>
      </c>
      <c r="AG11" s="59">
        <v>4</v>
      </c>
      <c r="AH11" s="59">
        <f>COUNTIF(Engine!AL$1:AL$90,AG11)</f>
        <v>1</v>
      </c>
      <c r="AI11" s="115" t="s">
        <v>102</v>
      </c>
    </row>
    <row r="12" spans="1:35" x14ac:dyDescent="0.3">
      <c r="B12" s="36"/>
      <c r="C12" s="128" t="s">
        <v>37</v>
      </c>
      <c r="D12" s="128"/>
      <c r="E12" s="128"/>
      <c r="F12" s="18"/>
      <c r="G12" s="16"/>
      <c r="I12" s="32"/>
      <c r="J12" s="32"/>
      <c r="K12" s="16"/>
      <c r="L12" s="16"/>
      <c r="M12" s="101"/>
      <c r="O12" s="32"/>
      <c r="P12" s="32"/>
      <c r="Q12" s="102"/>
      <c r="R12" s="127"/>
      <c r="S12" s="59">
        <v>3</v>
      </c>
      <c r="T12" s="59">
        <f>COUNTIF(Engine!K1:K90,$V$24)</f>
        <v>20</v>
      </c>
      <c r="U12" s="59">
        <f>COUNTIF(Engine!K1:K90,$V$25)</f>
        <v>37</v>
      </c>
      <c r="V12" s="59">
        <f>COUNTIF(Engine!Q1:Q90,V24)</f>
        <v>0</v>
      </c>
      <c r="W12" s="59">
        <f>COUNTIF(Engine!Q1:Q90,V25)</f>
        <v>1</v>
      </c>
      <c r="X12" s="59">
        <f>T12/($V$22)*100</f>
        <v>35.087719298245609</v>
      </c>
      <c r="Y12" s="59">
        <f>100-X12</f>
        <v>64.912280701754383</v>
      </c>
      <c r="Z12" s="59">
        <f t="shared" si="2"/>
        <v>0</v>
      </c>
      <c r="AA12" s="59">
        <f t="shared" si="2"/>
        <v>1.7543859649122806</v>
      </c>
      <c r="AC12" s="59">
        <f t="shared" si="0"/>
        <v>20</v>
      </c>
      <c r="AD12" s="59">
        <f t="shared" si="0"/>
        <v>37</v>
      </c>
      <c r="AE12" s="59">
        <f t="shared" si="1"/>
        <v>35.087719298245609</v>
      </c>
      <c r="AF12" s="59">
        <f t="shared" si="1"/>
        <v>64.912280701754383</v>
      </c>
      <c r="AG12" s="59">
        <v>3</v>
      </c>
      <c r="AH12" s="59">
        <f>COUNTIF(Engine!AL$1:AL$90,AG12)</f>
        <v>0</v>
      </c>
      <c r="AI12" s="115" t="s">
        <v>95</v>
      </c>
    </row>
    <row r="13" spans="1:35" ht="12.75" customHeight="1" x14ac:dyDescent="0.3">
      <c r="B13" s="36"/>
      <c r="C13" s="49"/>
      <c r="D13" s="37"/>
      <c r="E13" s="37"/>
      <c r="F13" s="18"/>
      <c r="G13" s="34" t="str">
        <f>IF($AI$23=1,Data!Q4,"")</f>
        <v>Saturday 3pm AEST</v>
      </c>
      <c r="H13" s="28"/>
      <c r="I13" s="28"/>
      <c r="J13" s="28"/>
      <c r="K13" s="29"/>
      <c r="L13" s="16"/>
      <c r="M13" s="98" t="str">
        <f>IF($AI$23=1,Data!Q8,"")</f>
        <v>Sunday 4:05pm AEST</v>
      </c>
      <c r="N13" s="28"/>
      <c r="O13" s="28"/>
      <c r="P13" s="28"/>
      <c r="Q13" s="100"/>
      <c r="R13" s="127"/>
      <c r="S13" s="59">
        <v>2</v>
      </c>
      <c r="T13" s="59">
        <f>COUNTIF(Engine!J1:J90,$U$24)</f>
        <v>5</v>
      </c>
      <c r="U13" s="59">
        <f>COUNTIF(Engine!J1:J90,$U$25)</f>
        <v>52</v>
      </c>
      <c r="V13" s="59">
        <f>COUNTIF(Engine!Q1:Q90,U24)</f>
        <v>0</v>
      </c>
      <c r="W13" s="59">
        <f>COUNTIF(Engine!Q1:Q90,U25)</f>
        <v>16</v>
      </c>
      <c r="X13" s="59">
        <f>T13/($V$22)*100</f>
        <v>8.7719298245614024</v>
      </c>
      <c r="Y13" s="59">
        <f>100-X13</f>
        <v>91.228070175438603</v>
      </c>
      <c r="Z13" s="59">
        <f t="shared" si="2"/>
        <v>0</v>
      </c>
      <c r="AA13" s="59">
        <f t="shared" si="2"/>
        <v>28.07017543859649</v>
      </c>
      <c r="AC13" s="59">
        <f t="shared" si="0"/>
        <v>5</v>
      </c>
      <c r="AD13" s="59">
        <f t="shared" si="0"/>
        <v>52</v>
      </c>
      <c r="AE13" s="59">
        <f t="shared" si="1"/>
        <v>8.7719298245614024</v>
      </c>
      <c r="AF13" s="59">
        <f t="shared" si="1"/>
        <v>91.228070175438603</v>
      </c>
      <c r="AG13" s="59">
        <v>2</v>
      </c>
      <c r="AH13" s="59">
        <f>COUNTIF(Engine!AL$1:AL$90,AG13)</f>
        <v>0</v>
      </c>
      <c r="AI13" s="115" t="s">
        <v>96</v>
      </c>
    </row>
    <row r="14" spans="1:35" ht="12.75" customHeight="1" x14ac:dyDescent="0.3">
      <c r="B14" s="48" t="s">
        <v>19</v>
      </c>
      <c r="C14" s="47"/>
      <c r="D14" s="39"/>
      <c r="E14" s="37"/>
      <c r="F14" s="18"/>
      <c r="G14" s="28"/>
      <c r="H14" s="130"/>
      <c r="K14" s="29"/>
      <c r="L14" s="16"/>
      <c r="M14" s="98"/>
      <c r="N14" s="126"/>
      <c r="Q14" s="100"/>
      <c r="R14" s="4"/>
      <c r="S14" s="59">
        <v>1</v>
      </c>
      <c r="T14" s="59">
        <f>COUNTIF(Engine!I1:I90,$T$24)</f>
        <v>53</v>
      </c>
      <c r="U14" s="59">
        <f>COUNTIF(Engine!I1:I90,$T$25)</f>
        <v>4</v>
      </c>
      <c r="V14" s="59">
        <f>COUNTIF(Engine!Q1:Q90,T24)</f>
        <v>14</v>
      </c>
      <c r="W14" s="59">
        <f>COUNTIF(Engine!Q1:Q90,T25)</f>
        <v>1</v>
      </c>
      <c r="X14" s="59">
        <f>T14/($V$22)*100</f>
        <v>92.982456140350877</v>
      </c>
      <c r="Y14" s="59">
        <f>100-X14</f>
        <v>7.0175438596491233</v>
      </c>
      <c r="Z14" s="59">
        <f t="shared" si="2"/>
        <v>24.561403508771928</v>
      </c>
      <c r="AA14" s="59">
        <f t="shared" si="2"/>
        <v>1.7543859649122806</v>
      </c>
      <c r="AC14" s="59">
        <f t="shared" si="0"/>
        <v>53</v>
      </c>
      <c r="AD14" s="59">
        <f t="shared" si="0"/>
        <v>4</v>
      </c>
      <c r="AE14" s="59">
        <f t="shared" si="1"/>
        <v>92.982456140350877</v>
      </c>
      <c r="AF14" s="59">
        <f t="shared" si="1"/>
        <v>7.0175438596491233</v>
      </c>
      <c r="AG14" s="59">
        <v>1</v>
      </c>
      <c r="AH14" s="59">
        <f>COUNTIF(Engine!AL$1:AL$90,AG14)</f>
        <v>0</v>
      </c>
      <c r="AI14" s="115" t="s">
        <v>97</v>
      </c>
    </row>
    <row r="15" spans="1:35" ht="12.75" customHeight="1" x14ac:dyDescent="0.3">
      <c r="B15" s="57"/>
      <c r="C15" s="46" t="str">
        <f>IF(T$23&gt;7,12,"")</f>
        <v/>
      </c>
      <c r="D15" s="37"/>
      <c r="E15" s="37"/>
      <c r="F15" s="18"/>
      <c r="G15" s="28"/>
      <c r="H15" s="130"/>
      <c r="K15" s="31" t="str">
        <f>ROUND(AE13,1)&amp;"%"</f>
        <v>8.8%</v>
      </c>
      <c r="L15" s="16"/>
      <c r="M15" s="98"/>
      <c r="N15" s="126"/>
      <c r="O15" s="33"/>
      <c r="P15" s="33"/>
      <c r="Q15" s="100" t="str">
        <f>IF(T23&lt;6,"",ROUND(AE9,1)&amp;"%")</f>
        <v>5.3%</v>
      </c>
      <c r="R15" s="127"/>
      <c r="AG15" s="59">
        <v>0</v>
      </c>
      <c r="AH15" s="59">
        <f>COUNTIF(Engine!AL$1:AL$90,AG15)</f>
        <v>0</v>
      </c>
      <c r="AI15" s="115" t="s">
        <v>98</v>
      </c>
    </row>
    <row r="16" spans="1:35" ht="12.75" customHeight="1" x14ac:dyDescent="0.3">
      <c r="B16" s="57"/>
      <c r="C16" s="41">
        <f>IF(T$23=8,"",IF(T$23&gt;6,11,""))</f>
        <v>11</v>
      </c>
      <c r="D16" s="39"/>
      <c r="E16" s="37"/>
      <c r="F16" s="18"/>
      <c r="G16" s="28"/>
      <c r="H16" s="130"/>
      <c r="K16" s="29"/>
      <c r="L16" s="16"/>
      <c r="M16" s="98"/>
      <c r="N16" s="126"/>
      <c r="O16" s="32"/>
      <c r="P16" s="32"/>
      <c r="Q16" s="100"/>
      <c r="R16" s="127"/>
      <c r="AG16" s="59">
        <v>-1</v>
      </c>
      <c r="AH16" s="59">
        <f>COUNTIF(Engine!AL$1:AL$90,AG16)</f>
        <v>0</v>
      </c>
      <c r="AI16" s="115" t="s">
        <v>99</v>
      </c>
    </row>
    <row r="17" spans="1:36" x14ac:dyDescent="0.3">
      <c r="B17" s="57"/>
      <c r="C17" s="46" t="str">
        <f>IF(T$23=7,"",IF(T$23&gt;5,10,""))</f>
        <v/>
      </c>
      <c r="D17" s="37"/>
      <c r="E17" s="37"/>
      <c r="F17" s="18"/>
      <c r="G17" s="28"/>
      <c r="H17" s="126"/>
      <c r="K17" s="29"/>
      <c r="L17" s="16"/>
      <c r="M17" s="98"/>
      <c r="N17" s="125"/>
      <c r="Q17" s="100"/>
      <c r="R17" s="127"/>
      <c r="AG17" s="59">
        <v>-2</v>
      </c>
      <c r="AH17" s="59">
        <f>COUNTIF(Engine!AL$1:AL$90,AG17)</f>
        <v>0</v>
      </c>
      <c r="AI17" s="115" t="s">
        <v>100</v>
      </c>
    </row>
    <row r="18" spans="1:36" x14ac:dyDescent="0.3">
      <c r="B18" s="57"/>
      <c r="C18" s="41">
        <f>IF(T$23=6,"",IF(T$23&gt;4,9,""))</f>
        <v>9</v>
      </c>
      <c r="D18" s="39"/>
      <c r="E18" s="37"/>
      <c r="F18" s="18"/>
      <c r="G18" s="28"/>
      <c r="H18" s="126"/>
      <c r="K18" s="31" t="str">
        <f>ROUND(AF13,1)&amp;"%"</f>
        <v>91.2%</v>
      </c>
      <c r="L18" s="16"/>
      <c r="M18" s="98"/>
      <c r="N18" s="125"/>
      <c r="Q18" s="100" t="str">
        <f>IF(T23&lt;6,"",ROUND(AF9,1)&amp;"%")</f>
        <v>94.7%</v>
      </c>
      <c r="R18" s="127"/>
      <c r="AG18" s="59" t="s">
        <v>38</v>
      </c>
      <c r="AH18" s="59">
        <f>COUNTIF(Engine!AK1:AK90,2)</f>
        <v>53</v>
      </c>
    </row>
    <row r="19" spans="1:36" x14ac:dyDescent="0.3">
      <c r="B19" s="57"/>
      <c r="C19" s="46">
        <f>IF(T$23=5,"",IF(T$23&gt;3,8,""))</f>
        <v>8</v>
      </c>
      <c r="D19" s="37"/>
      <c r="E19" s="37"/>
      <c r="F19" s="18"/>
      <c r="G19" s="28"/>
      <c r="H19" s="126"/>
      <c r="K19" s="29"/>
      <c r="L19" s="16"/>
      <c r="M19" s="98"/>
      <c r="N19" s="125"/>
      <c r="Q19" s="100"/>
      <c r="R19" s="127"/>
      <c r="U19" s="59" t="s">
        <v>105</v>
      </c>
      <c r="V19" s="59">
        <f>30+T23</f>
        <v>37</v>
      </c>
      <c r="AG19" s="59" t="s">
        <v>39</v>
      </c>
      <c r="AH19" s="59">
        <f>V23-AH20-AH21</f>
        <v>57</v>
      </c>
    </row>
    <row r="20" spans="1:36" x14ac:dyDescent="0.3">
      <c r="B20" s="57"/>
      <c r="C20" s="41">
        <f>IF(T$23=4,"",IF(T$23&gt;2,7,""))</f>
        <v>7</v>
      </c>
      <c r="D20" s="39"/>
      <c r="E20" s="37"/>
      <c r="F20" s="18"/>
      <c r="G20" s="28"/>
      <c r="H20" s="28"/>
      <c r="I20" s="28"/>
      <c r="J20" s="28"/>
      <c r="K20" s="29"/>
      <c r="L20" s="16"/>
      <c r="M20" s="105"/>
      <c r="N20" s="28"/>
      <c r="O20" s="28"/>
      <c r="P20" s="28"/>
      <c r="Q20" s="106"/>
      <c r="R20" s="127"/>
      <c r="U20" s="59" t="s">
        <v>104</v>
      </c>
      <c r="V20" s="59" t="str">
        <f>"E31:E"&amp;V19</f>
        <v>E31:E37</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Saturday 5:30pm AEST</v>
      </c>
      <c r="H22" s="28"/>
      <c r="I22" s="28"/>
      <c r="J22" s="28"/>
      <c r="K22" s="29"/>
      <c r="L22" s="33"/>
      <c r="M22" s="98" t="str">
        <f>IF(T23=6,"",IF($AI$23=1,Data!Q9,""))</f>
        <v>Sunday 6:15pm AEST</v>
      </c>
      <c r="N22" s="28"/>
      <c r="O22" s="28"/>
      <c r="P22" s="28"/>
      <c r="Q22" s="100"/>
      <c r="R22" s="127"/>
      <c r="T22" s="59" t="s">
        <v>43</v>
      </c>
      <c r="U22" s="59" t="s">
        <v>44</v>
      </c>
      <c r="V22" s="59">
        <f>Data!S6</f>
        <v>57</v>
      </c>
      <c r="W22" s="59" t="s">
        <v>45</v>
      </c>
      <c r="X22" s="59" t="s">
        <v>46</v>
      </c>
      <c r="Y22" s="59">
        <f>Data!R3</f>
        <v>20</v>
      </c>
    </row>
    <row r="23" spans="1:36" x14ac:dyDescent="0.3">
      <c r="B23" s="57"/>
      <c r="C23" s="43">
        <v>4</v>
      </c>
      <c r="D23" s="18"/>
      <c r="E23" s="18"/>
      <c r="F23" s="18"/>
      <c r="G23" s="28"/>
      <c r="H23" s="126"/>
      <c r="K23" s="29"/>
      <c r="L23" s="16"/>
      <c r="M23" s="98"/>
      <c r="N23" s="129"/>
      <c r="Q23" s="100"/>
      <c r="R23" s="127"/>
      <c r="T23" s="59">
        <f>Data!S3</f>
        <v>7</v>
      </c>
      <c r="U23" s="59" t="s">
        <v>47</v>
      </c>
      <c r="V23" s="59">
        <f>Data!S7</f>
        <v>57</v>
      </c>
      <c r="W23" s="59" t="s">
        <v>48</v>
      </c>
      <c r="AH23" s="59" t="s">
        <v>49</v>
      </c>
      <c r="AI23" s="116">
        <v>1</v>
      </c>
    </row>
    <row r="24" spans="1:36" x14ac:dyDescent="0.3">
      <c r="B24" s="57"/>
      <c r="C24" s="45">
        <v>3</v>
      </c>
      <c r="D24" s="44"/>
      <c r="E24" s="18"/>
      <c r="F24" s="18"/>
      <c r="G24" s="28"/>
      <c r="H24" s="126"/>
      <c r="I24" s="33"/>
      <c r="J24" s="33"/>
      <c r="K24" s="31" t="str">
        <f>ROUND(AE12,1)&amp;"%"</f>
        <v>35.1%</v>
      </c>
      <c r="L24" s="16"/>
      <c r="M24" s="98"/>
      <c r="N24" s="129"/>
      <c r="O24" s="33"/>
      <c r="P24" s="33"/>
      <c r="Q24" s="100" t="str">
        <f>IF(T23&lt;7,"",ROUND(AE8,1)&amp;"%")</f>
        <v>87.7%</v>
      </c>
      <c r="R24" s="127"/>
      <c r="T24" s="59" t="str">
        <f>Data!$O3</f>
        <v>Knights</v>
      </c>
      <c r="U24" s="59" t="str">
        <f>Data!$O4</f>
        <v>Bulldogs</v>
      </c>
      <c r="V24" s="59" t="str">
        <f>Data!$O5</f>
        <v>Sea Eagles</v>
      </c>
      <c r="W24" s="59" t="str">
        <f>Data!$O6</f>
        <v>Roosters</v>
      </c>
      <c r="X24" s="59" t="str">
        <f>Data!$O7</f>
        <v>Warriors</v>
      </c>
      <c r="Y24" s="59" t="str">
        <f>Data!$O8</f>
        <v>Dolphins</v>
      </c>
      <c r="Z24" s="59" t="str">
        <f>Data!$O9</f>
        <v>Eels</v>
      </c>
      <c r="AA24" s="59" t="str">
        <f>Data!$O10</f>
        <v/>
      </c>
    </row>
    <row r="25" spans="1:36" x14ac:dyDescent="0.3">
      <c r="B25" s="57"/>
      <c r="C25" s="43">
        <v>2</v>
      </c>
      <c r="D25" s="18"/>
      <c r="E25" s="18"/>
      <c r="F25" s="18"/>
      <c r="G25" s="28"/>
      <c r="H25" s="126"/>
      <c r="I25" s="32"/>
      <c r="J25" s="32"/>
      <c r="K25" s="42"/>
      <c r="L25" s="16"/>
      <c r="M25" s="98"/>
      <c r="N25" s="129"/>
      <c r="O25" s="32"/>
      <c r="P25" s="32"/>
      <c r="Q25" s="100"/>
      <c r="R25" s="127"/>
      <c r="T25" s="59" t="str">
        <f>Data!$P3</f>
        <v>Wests Tigers</v>
      </c>
      <c r="U25" s="59" t="str">
        <f>Data!$P4</f>
        <v>Broncos</v>
      </c>
      <c r="V25" s="59" t="str">
        <f>Data!$P5</f>
        <v>Cowboys</v>
      </c>
      <c r="W25" s="59" t="str">
        <f>Data!$P6</f>
        <v>Storm</v>
      </c>
      <c r="X25" s="59" t="str">
        <f>Data!$P7</f>
        <v>Sharks</v>
      </c>
      <c r="Y25" s="59" t="str">
        <f>Data!$P8</f>
        <v>Panthers</v>
      </c>
      <c r="Z25" s="59" t="str">
        <f>Data!$P9</f>
        <v>Titans</v>
      </c>
      <c r="AA25" s="59" t="str">
        <f>Data!$P10</f>
        <v/>
      </c>
    </row>
    <row r="26" spans="1:36" x14ac:dyDescent="0.3">
      <c r="B26" s="57"/>
      <c r="C26" s="41">
        <v>1</v>
      </c>
      <c r="D26" s="39"/>
      <c r="E26" s="37"/>
      <c r="F26" s="18"/>
      <c r="G26" s="28"/>
      <c r="H26" s="126"/>
      <c r="K26" s="29"/>
      <c r="L26" s="16"/>
      <c r="M26" s="98"/>
      <c r="N26" s="126"/>
      <c r="Q26" s="100"/>
      <c r="R26" s="127"/>
      <c r="T26" s="59" t="str">
        <f>Data!Q3</f>
        <v>Friday 8pm AEST</v>
      </c>
      <c r="U26" s="59" t="str">
        <f>Data!Q4</f>
        <v>Saturday 3pm AEST</v>
      </c>
      <c r="V26" s="59" t="str">
        <f>Data!Q5</f>
        <v>Saturday 5:30pm AEST</v>
      </c>
      <c r="W26" s="59" t="str">
        <f>Data!Q6</f>
        <v>Saturday 7:35pm AEST</v>
      </c>
      <c r="X26" s="59" t="str">
        <f>Data!Q7</f>
        <v>Sunday 2pm AEST</v>
      </c>
      <c r="Y26" s="59" t="str">
        <f>Data!Q8</f>
        <v>Sunday 4:05pm AEST</v>
      </c>
      <c r="Z26" s="59" t="str">
        <f>Data!Q9</f>
        <v>Sunday 6:15pm AEST</v>
      </c>
      <c r="AA26" s="59" t="str">
        <f>Data!Q10</f>
        <v xml:space="preserve">  AEST</v>
      </c>
    </row>
    <row r="27" spans="1:36" x14ac:dyDescent="0.3">
      <c r="B27" s="57"/>
      <c r="C27" s="38">
        <v>0</v>
      </c>
      <c r="D27" s="37"/>
      <c r="E27" s="37"/>
      <c r="F27" s="18"/>
      <c r="G27" s="28"/>
      <c r="H27" s="126"/>
      <c r="K27" s="31" t="str">
        <f>ROUND(AF12,1)&amp;"%"</f>
        <v>64.9%</v>
      </c>
      <c r="L27" s="16"/>
      <c r="M27" s="98"/>
      <c r="N27" s="126"/>
      <c r="Q27" s="100" t="str">
        <f>IF(T23&lt;7,"",ROUND(AF8,1)&amp;"%")</f>
        <v>12.3%</v>
      </c>
      <c r="R27" s="127"/>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6"/>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7"/>
      <c r="AB29" s="107" t="s">
        <v>84</v>
      </c>
    </row>
    <row r="30" spans="1:36" x14ac:dyDescent="0.3">
      <c r="B30" s="36"/>
      <c r="C30" s="19"/>
      <c r="D30" s="18"/>
      <c r="E30" s="35"/>
      <c r="F30" s="18"/>
      <c r="G30" s="16"/>
      <c r="K30" s="16"/>
      <c r="L30" s="16"/>
      <c r="M30" s="101"/>
      <c r="Q30" s="101"/>
      <c r="R30" s="127"/>
      <c r="AB30" s="107" t="s">
        <v>84</v>
      </c>
    </row>
    <row r="31" spans="1:36" x14ac:dyDescent="0.3">
      <c r="A31" s="55"/>
      <c r="B31" s="57">
        <v>1</v>
      </c>
      <c r="C31" s="131" t="s">
        <v>54</v>
      </c>
      <c r="D31" s="132"/>
      <c r="E31" s="30" t="s">
        <v>152</v>
      </c>
      <c r="F31" s="18"/>
      <c r="G31" s="34" t="str">
        <f>IF($AI$23=1,Data!Q6,"")</f>
        <v>Saturday 7:35pm AEST</v>
      </c>
      <c r="H31" s="28"/>
      <c r="I31" s="28"/>
      <c r="J31" s="28"/>
      <c r="K31" s="29"/>
      <c r="L31" s="16"/>
      <c r="M31" s="98" t="str">
        <f>IF(T23=6,"",IF($AI$23=1,Data!Q10,""))</f>
        <v xml:space="preserve">  AEST</v>
      </c>
      <c r="N31" s="28"/>
      <c r="O31" s="28"/>
      <c r="P31" s="28"/>
      <c r="Q31" s="99"/>
      <c r="R31" s="127"/>
    </row>
    <row r="32" spans="1:36" x14ac:dyDescent="0.3">
      <c r="A32" s="55"/>
      <c r="B32" s="57">
        <v>2</v>
      </c>
      <c r="C32" s="131" t="s">
        <v>55</v>
      </c>
      <c r="D32" s="132"/>
      <c r="E32" s="30"/>
      <c r="F32" s="18"/>
      <c r="G32" s="28"/>
      <c r="H32" s="126"/>
      <c r="K32" s="29"/>
      <c r="L32" s="16"/>
      <c r="M32" s="99"/>
      <c r="N32" s="126"/>
      <c r="Q32" s="99"/>
      <c r="R32" s="127"/>
    </row>
    <row r="33" spans="1:253" x14ac:dyDescent="0.3">
      <c r="A33" s="55"/>
      <c r="B33" s="57">
        <v>3</v>
      </c>
      <c r="C33" s="131" t="s">
        <v>56</v>
      </c>
      <c r="D33" s="132"/>
      <c r="E33" s="30"/>
      <c r="F33" s="18"/>
      <c r="G33" s="28"/>
      <c r="H33" s="126"/>
      <c r="K33" s="31" t="str">
        <f>ROUND(AE11,1)&amp;"%"</f>
        <v>12.3%</v>
      </c>
      <c r="L33" s="16"/>
      <c r="M33" s="99"/>
      <c r="N33" s="126"/>
      <c r="O33" s="33"/>
      <c r="P33" s="33"/>
      <c r="Q33" s="103" t="str">
        <f>IF(T23&lt;8,"",ROUND(AE7,1)&amp;"%")</f>
        <v/>
      </c>
      <c r="R33" s="127"/>
    </row>
    <row r="34" spans="1:253" x14ac:dyDescent="0.3">
      <c r="A34" s="55"/>
      <c r="B34" s="57">
        <v>4</v>
      </c>
      <c r="C34" s="131" t="s">
        <v>57</v>
      </c>
      <c r="D34" s="132"/>
      <c r="E34" s="30"/>
      <c r="F34" s="18"/>
      <c r="G34" s="28"/>
      <c r="H34" s="126"/>
      <c r="K34" s="29"/>
      <c r="M34" s="99"/>
      <c r="N34" s="126"/>
      <c r="O34" s="32"/>
      <c r="P34" s="32"/>
      <c r="Q34" s="99"/>
      <c r="R34" s="127"/>
    </row>
    <row r="35" spans="1:253" x14ac:dyDescent="0.3">
      <c r="A35" s="55"/>
      <c r="B35" s="57">
        <v>5</v>
      </c>
      <c r="C35" s="131" t="str">
        <f>IF(T23&lt;5,"","Select Winner - Game 5:")</f>
        <v>Select Winner - Game 5:</v>
      </c>
      <c r="D35" s="131"/>
      <c r="E35" s="30"/>
      <c r="F35" s="18"/>
      <c r="G35" s="28"/>
      <c r="H35" s="126"/>
      <c r="K35" s="29"/>
      <c r="M35" s="99"/>
      <c r="N35" s="126"/>
      <c r="Q35" s="99"/>
      <c r="R35" s="4"/>
    </row>
    <row r="36" spans="1:253" x14ac:dyDescent="0.3">
      <c r="A36" s="55"/>
      <c r="B36" s="57">
        <v>6</v>
      </c>
      <c r="C36" s="131" t="str">
        <f>IF(T23&lt;6,"","Select Winner - Game 6:")</f>
        <v>Select Winner - Game 6:</v>
      </c>
      <c r="D36" s="131"/>
      <c r="E36" s="30"/>
      <c r="F36" s="18"/>
      <c r="G36" s="28"/>
      <c r="H36" s="126"/>
      <c r="K36" s="31" t="str">
        <f>ROUND(AF11,1)&amp;"%"</f>
        <v>87.7%</v>
      </c>
      <c r="M36" s="99"/>
      <c r="N36" s="126"/>
      <c r="Q36" s="103" t="str">
        <f>IF(T23&lt;8,"",ROUND(AF7,1)&amp;"%")</f>
        <v/>
      </c>
      <c r="R36" s="127"/>
    </row>
    <row r="37" spans="1:253" x14ac:dyDescent="0.3">
      <c r="A37" s="55"/>
      <c r="B37" s="57">
        <v>7</v>
      </c>
      <c r="C37" s="131" t="str">
        <f>IF(T23&lt;7,"","Select Winner - Game 7:")</f>
        <v>Select Winner - Game 7:</v>
      </c>
      <c r="D37" s="131"/>
      <c r="E37" s="30"/>
      <c r="F37" s="18"/>
      <c r="G37" s="28"/>
      <c r="H37" s="126"/>
      <c r="K37" s="29"/>
      <c r="M37" s="99"/>
      <c r="N37" s="126"/>
      <c r="Q37" s="99"/>
      <c r="R37" s="127"/>
    </row>
    <row r="38" spans="1:253" x14ac:dyDescent="0.3">
      <c r="A38" s="55"/>
      <c r="B38" s="57">
        <v>8</v>
      </c>
      <c r="C38" s="131" t="str">
        <f>IF(T23&lt;8,"","Select Winner - Game 8:")</f>
        <v/>
      </c>
      <c r="D38" s="131"/>
      <c r="E38" s="120"/>
      <c r="F38" s="18"/>
      <c r="G38" s="28"/>
      <c r="H38" s="29"/>
      <c r="I38" s="29"/>
      <c r="J38" s="29"/>
      <c r="K38" s="29"/>
      <c r="M38" s="99"/>
      <c r="N38" s="99"/>
      <c r="O38" s="99"/>
      <c r="P38" s="99"/>
      <c r="Q38" s="99"/>
      <c r="R38" s="127"/>
    </row>
    <row r="39" spans="1:253" x14ac:dyDescent="0.3">
      <c r="B39" s="27"/>
      <c r="F39" s="18"/>
      <c r="R39" s="127"/>
    </row>
    <row r="40" spans="1:253" x14ac:dyDescent="0.3">
      <c r="B40" s="27"/>
      <c r="F40" s="18"/>
      <c r="R40" s="127"/>
    </row>
    <row r="41" spans="1:253" ht="15" thickBot="1" x14ac:dyDescent="0.35">
      <c r="B41" s="26"/>
      <c r="C41" s="24"/>
      <c r="D41" s="23"/>
      <c r="E41" s="23"/>
      <c r="F41" s="25"/>
      <c r="G41" s="23"/>
      <c r="H41" s="23"/>
      <c r="I41" s="23"/>
      <c r="J41" s="23"/>
      <c r="K41" s="23"/>
      <c r="L41" s="23"/>
      <c r="M41" s="24"/>
      <c r="N41" s="23"/>
      <c r="O41" s="23"/>
      <c r="P41" s="23"/>
      <c r="Q41" s="97"/>
      <c r="R41" s="133"/>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Knights</v>
      </c>
      <c r="D43" s="22" t="str">
        <f t="shared" ref="D43:F43" si="3">U24</f>
        <v>Bulldogs</v>
      </c>
      <c r="E43" s="22" t="str">
        <f t="shared" si="3"/>
        <v>Sea Eagles</v>
      </c>
      <c r="F43" s="22" t="str">
        <f t="shared" si="3"/>
        <v>Roosters</v>
      </c>
      <c r="G43" s="22" t="str">
        <f>IF($T$23&gt;4,X24,"")</f>
        <v>Warriors</v>
      </c>
      <c r="H43" s="22" t="str">
        <f>IF($T$23&gt;5,Y24,"")</f>
        <v>Dolphins</v>
      </c>
      <c r="I43" s="22" t="str">
        <f>IF($T$23&gt;6,Z24,"")</f>
        <v>Eels</v>
      </c>
      <c r="J43" s="22" t="str">
        <f>IF($T$23&gt;7,AA24,"")</f>
        <v/>
      </c>
      <c r="M43" s="22"/>
      <c r="Q43" s="117"/>
      <c r="R43" s="134"/>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Wests Tigers</v>
      </c>
      <c r="D44" s="22" t="str">
        <f t="shared" si="4"/>
        <v>Broncos</v>
      </c>
      <c r="E44" s="22" t="str">
        <f t="shared" si="4"/>
        <v>Cowboys</v>
      </c>
      <c r="F44" s="22" t="str">
        <f t="shared" si="4"/>
        <v>Storm</v>
      </c>
      <c r="G44" s="22" t="str">
        <f t="shared" ref="G44" si="5">IF($T$23&gt;4,X25,"")</f>
        <v>Sharks</v>
      </c>
      <c r="H44" s="22" t="str">
        <f t="shared" ref="H44" si="6">IF($T$23&gt;5,Y25,"")</f>
        <v>Panthers</v>
      </c>
      <c r="I44" s="22" t="str">
        <f t="shared" ref="I44" si="7">IF($T$23&gt;6,Z25,"")</f>
        <v>Titans</v>
      </c>
      <c r="J44" s="22" t="str">
        <f t="shared" ref="J44" si="8">IF($T$23&gt;7,AA25,"")</f>
        <v/>
      </c>
      <c r="M44" s="22"/>
      <c r="Q44" s="117"/>
      <c r="R44" s="134"/>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
      </c>
      <c r="M45" s="22"/>
      <c r="Q45" s="117"/>
      <c r="R45" s="134"/>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31"/>
    </row>
    <row r="47" spans="1:253" x14ac:dyDescent="0.3">
      <c r="D47" s="20"/>
      <c r="E47" s="18"/>
      <c r="F47" s="18"/>
      <c r="G47" s="18"/>
      <c r="R47" s="131"/>
    </row>
    <row r="48" spans="1:253" x14ac:dyDescent="0.3">
      <c r="C48" s="13"/>
      <c r="D48" s="20"/>
      <c r="E48" s="18"/>
      <c r="F48" s="18"/>
      <c r="G48" s="18"/>
      <c r="R48" s="131"/>
    </row>
    <row r="49" spans="2:18" x14ac:dyDescent="0.3">
      <c r="D49" s="19"/>
      <c r="E49" s="18"/>
      <c r="F49" s="18"/>
      <c r="G49" s="18"/>
      <c r="R49" s="5"/>
    </row>
    <row r="50" spans="2:18" x14ac:dyDescent="0.3">
      <c r="B50" s="17"/>
      <c r="D50" s="19"/>
      <c r="E50" s="18"/>
      <c r="F50" s="18"/>
      <c r="G50" s="18"/>
      <c r="R50" s="131"/>
    </row>
    <row r="51" spans="2:18" x14ac:dyDescent="0.3">
      <c r="B51" s="17"/>
      <c r="R51" s="131"/>
    </row>
    <row r="52" spans="2:18" x14ac:dyDescent="0.3">
      <c r="B52" s="17"/>
      <c r="R52" s="131"/>
    </row>
    <row r="53" spans="2:18" x14ac:dyDescent="0.3">
      <c r="B53" s="17"/>
      <c r="D53" s="17"/>
      <c r="E53" s="17"/>
      <c r="R53" s="131"/>
    </row>
    <row r="54" spans="2:18" x14ac:dyDescent="0.3">
      <c r="B54" s="17"/>
      <c r="D54" s="17"/>
      <c r="E54" s="17"/>
      <c r="R54" s="131"/>
    </row>
    <row r="55" spans="2:18" x14ac:dyDescent="0.3">
      <c r="B55" s="17"/>
      <c r="D55" s="17"/>
      <c r="E55" s="17"/>
      <c r="R55" s="131"/>
    </row>
    <row r="56" spans="2:18" x14ac:dyDescent="0.3">
      <c r="D56" s="17"/>
      <c r="E56" s="17"/>
    </row>
  </sheetData>
  <sheetProtection algorithmName="SHA-512" hashValue="jgoxspjqmwTpAtrPp643S7odPsK8rcKlTw729uia2fbfbOUcFLUBViW5O2UnSzUDUo5Qnq4tkiFF8dKNYa5MwA==" saltValue="UI7FbEHk8opcaRWjfty51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6" priority="87" stopIfTrue="1">
      <formula>$T$23&lt;7</formula>
    </cfRule>
  </conditionalFormatting>
  <conditionalFormatting sqref="E35">
    <cfRule type="expression" dxfId="75" priority="1">
      <formula>$T$23&lt;5</formula>
    </cfRule>
  </conditionalFormatting>
  <conditionalFormatting sqref="E36">
    <cfRule type="expression" dxfId="74" priority="2">
      <formula>$T$23&lt;6</formula>
    </cfRule>
  </conditionalFormatting>
  <conditionalFormatting sqref="E37">
    <cfRule type="expression" dxfId="73" priority="3">
      <formula>$T$23&lt;7</formula>
    </cfRule>
  </conditionalFormatting>
  <conditionalFormatting sqref="E38">
    <cfRule type="expression" dxfId="72" priority="4">
      <formula>$T$23&lt;8</formula>
    </cfRule>
  </conditionalFormatting>
  <conditionalFormatting sqref="G12 K12 G21 K21 G30 K30">
    <cfRule type="expression" dxfId="71" priority="168" stopIfTrue="1">
      <formula>$AI$23=2</formula>
    </cfRule>
  </conditionalFormatting>
  <conditionalFormatting sqref="M4:M11">
    <cfRule type="expression" dxfId="70" priority="11">
      <formula>$AI$23=2</formula>
    </cfRule>
    <cfRule type="expression" dxfId="69" priority="18">
      <formula>$T$23&lt;5</formula>
    </cfRule>
    <cfRule type="expression" dxfId="68" priority="40">
      <formula>$AI$23=2</formula>
    </cfRule>
  </conditionalFormatting>
  <conditionalFormatting sqref="M12">
    <cfRule type="expression" dxfId="67" priority="39" stopIfTrue="1">
      <formula>$AI$23=2</formula>
    </cfRule>
  </conditionalFormatting>
  <conditionalFormatting sqref="M13:M20">
    <cfRule type="expression" dxfId="66" priority="21">
      <formula>$AI$23=2</formula>
    </cfRule>
    <cfRule type="expression" dxfId="65" priority="25">
      <formula>$T$23&lt;6</formula>
    </cfRule>
  </conditionalFormatting>
  <conditionalFormatting sqref="M21">
    <cfRule type="expression" dxfId="64" priority="60" stopIfTrue="1">
      <formula>$AI$23=2</formula>
    </cfRule>
  </conditionalFormatting>
  <conditionalFormatting sqref="M22:M29">
    <cfRule type="expression" dxfId="63" priority="31">
      <formula>$T$23&lt;6</formula>
    </cfRule>
    <cfRule type="expression" dxfId="62" priority="30">
      <formula>$AI$23=2</formula>
    </cfRule>
    <cfRule type="expression" dxfId="61" priority="44">
      <formula>$T$23&lt;7</formula>
    </cfRule>
  </conditionalFormatting>
  <conditionalFormatting sqref="M30">
    <cfRule type="expression" dxfId="60" priority="58" stopIfTrue="1">
      <formula>$AI$23=2</formula>
    </cfRule>
  </conditionalFormatting>
  <conditionalFormatting sqref="M31:M38">
    <cfRule type="expression" dxfId="59" priority="37">
      <formula>$AI$23=2</formula>
    </cfRule>
  </conditionalFormatting>
  <conditionalFormatting sqref="M32:M38">
    <cfRule type="expression" dxfId="58" priority="50">
      <formula>$T$23&lt;8</formula>
    </cfRule>
  </conditionalFormatting>
  <conditionalFormatting sqref="M31:P31">
    <cfRule type="expression" dxfId="57" priority="51">
      <formula>$T$23&lt;8</formula>
    </cfRule>
  </conditionalFormatting>
  <conditionalFormatting sqref="N11:P11 H11:J11 H13:J13 H20:J20 H22:J22 H29:J29 H31:J31">
    <cfRule type="expression" dxfId="56" priority="174" stopIfTrue="1">
      <formula>$AI$23=2</formula>
    </cfRule>
  </conditionalFormatting>
  <conditionalFormatting sqref="N11:P11">
    <cfRule type="expression" dxfId="55" priority="12">
      <formula>$T$23&lt;5</formula>
    </cfRule>
  </conditionalFormatting>
  <conditionalFormatting sqref="N13:P13">
    <cfRule type="expression" dxfId="54" priority="56" stopIfTrue="1">
      <formula>$AI$23=2</formula>
    </cfRule>
    <cfRule type="expression" dxfId="53" priority="23">
      <formula>$T$23&lt;6</formula>
    </cfRule>
  </conditionalFormatting>
  <conditionalFormatting sqref="N20:P20">
    <cfRule type="expression" dxfId="52" priority="22">
      <formula>$T$23&lt;6</formula>
    </cfRule>
    <cfRule type="expression" dxfId="51" priority="52" stopIfTrue="1">
      <formula>$AI$23=2</formula>
    </cfRule>
  </conditionalFormatting>
  <conditionalFormatting sqref="N22:P22">
    <cfRule type="expression" dxfId="50" priority="55" stopIfTrue="1">
      <formula>$AI$23=2</formula>
    </cfRule>
    <cfRule type="expression" dxfId="49" priority="47">
      <formula>$T$23&lt;7</formula>
    </cfRule>
  </conditionalFormatting>
  <conditionalFormatting sqref="N29:P29">
    <cfRule type="expression" dxfId="48" priority="54" stopIfTrue="1">
      <formula>$AI$23=2</formula>
    </cfRule>
    <cfRule type="expression" dxfId="47" priority="46">
      <formula>$T$23&lt;7</formula>
    </cfRule>
  </conditionalFormatting>
  <conditionalFormatting sqref="N31:P31">
    <cfRule type="expression" dxfId="46" priority="53" stopIfTrue="1">
      <formula>$AI$23=2</formula>
    </cfRule>
  </conditionalFormatting>
  <conditionalFormatting sqref="N4:Q4">
    <cfRule type="expression" dxfId="45" priority="9">
      <formula>$T$23&lt;5</formula>
    </cfRule>
    <cfRule type="expression" dxfId="44" priority="8">
      <formula>$AI$23=2</formula>
    </cfRule>
    <cfRule type="expression" dxfId="43" priority="10">
      <formula>$AI$23=2</formula>
    </cfRule>
  </conditionalFormatting>
  <conditionalFormatting sqref="N38:Q38">
    <cfRule type="expression" dxfId="42" priority="35">
      <formula>$AI$23=2</formula>
    </cfRule>
    <cfRule type="expression" dxfId="41" priority="36">
      <formula>$T$23&lt;8</formula>
    </cfRule>
  </conditionalFormatting>
  <conditionalFormatting sqref="Q5:Q11">
    <cfRule type="expression" dxfId="40" priority="7">
      <formula>$AI$23=2</formula>
    </cfRule>
    <cfRule type="expression" dxfId="39" priority="5">
      <formula>$AI$23=2</formula>
    </cfRule>
    <cfRule type="expression" dxfId="38" priority="6">
      <formula>$T$23&lt;5</formula>
    </cfRule>
  </conditionalFormatting>
  <conditionalFormatting sqref="Q12">
    <cfRule type="expression" dxfId="37" priority="61" stopIfTrue="1">
      <formula>$AI$23=2</formula>
    </cfRule>
  </conditionalFormatting>
  <conditionalFormatting sqref="Q13:Q20">
    <cfRule type="expression" dxfId="36" priority="20">
      <formula>$T$23&lt;6</formula>
    </cfRule>
    <cfRule type="expression" dxfId="35" priority="19">
      <formula>$AI$23=2</formula>
    </cfRule>
  </conditionalFormatting>
  <conditionalFormatting sqref="Q21">
    <cfRule type="expression" dxfId="34" priority="59" stopIfTrue="1">
      <formula>$AI$23=2</formula>
    </cfRule>
  </conditionalFormatting>
  <conditionalFormatting sqref="Q22:Q29">
    <cfRule type="expression" dxfId="33" priority="29">
      <formula>$T$23&lt;7</formula>
    </cfRule>
    <cfRule type="expression" dxfId="32" priority="28">
      <formula>$T$23&lt;6</formula>
    </cfRule>
    <cfRule type="expression" dxfId="31" priority="27">
      <formula>$AI$23=2</formula>
    </cfRule>
  </conditionalFormatting>
  <conditionalFormatting sqref="Q30">
    <cfRule type="expression" dxfId="30" priority="57" stopIfTrue="1">
      <formula>$AI$23=2</formula>
    </cfRule>
  </conditionalFormatting>
  <conditionalFormatting sqref="Q31:Q37">
    <cfRule type="expression" dxfId="29" priority="34">
      <formula>$T$23&lt;8</formula>
    </cfRule>
    <cfRule type="expression" dxfId="28"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3" t="s">
        <v>150</v>
      </c>
      <c r="C1" s="123"/>
      <c r="D1" s="123"/>
      <c r="E1" s="123"/>
      <c r="F1" s="123"/>
      <c r="G1" s="123"/>
      <c r="H1" s="123"/>
      <c r="I1" s="123"/>
      <c r="J1" s="123"/>
      <c r="K1" s="123"/>
      <c r="L1" s="123"/>
      <c r="M1" s="123"/>
      <c r="N1" s="123"/>
      <c r="O1" s="123"/>
      <c r="P1" s="92"/>
      <c r="Q1" s="92"/>
    </row>
    <row r="2" spans="1:28" ht="21.45" customHeight="1" x14ac:dyDescent="0.3">
      <c r="B2" s="61" t="s">
        <v>22</v>
      </c>
      <c r="G2" s="80" t="s">
        <v>74</v>
      </c>
      <c r="H2" s="81"/>
      <c r="I2" s="81"/>
      <c r="J2" s="81"/>
      <c r="K2" s="80"/>
      <c r="L2" s="80"/>
      <c r="M2" s="81"/>
      <c r="N2" s="81"/>
    </row>
    <row r="3" spans="1:28" x14ac:dyDescent="0.3">
      <c r="B3" s="64" t="s">
        <v>7</v>
      </c>
      <c r="C3" s="136" t="s">
        <v>22</v>
      </c>
      <c r="D3" s="136"/>
      <c r="E3" s="64" t="s">
        <v>8</v>
      </c>
      <c r="G3" s="138" t="s">
        <v>75</v>
      </c>
      <c r="H3" s="138"/>
      <c r="I3" s="81"/>
      <c r="K3" s="82"/>
      <c r="L3" s="138" t="s">
        <v>67</v>
      </c>
      <c r="M3" s="138"/>
      <c r="N3" s="138"/>
      <c r="O3" s="79"/>
      <c r="P3" s="81" t="s">
        <v>9</v>
      </c>
      <c r="Q3" s="81" t="s">
        <v>12</v>
      </c>
      <c r="R3" s="93" t="s">
        <v>14</v>
      </c>
      <c r="S3" s="83" t="s">
        <v>103</v>
      </c>
      <c r="T3" s="83">
        <f>Data!S3</f>
        <v>7</v>
      </c>
    </row>
    <row r="4" spans="1:28" x14ac:dyDescent="0.3">
      <c r="A4" s="60">
        <v>1</v>
      </c>
      <c r="B4" s="2" t="str">
        <f>Data!O3</f>
        <v>Knights</v>
      </c>
      <c r="C4" s="75">
        <v>34</v>
      </c>
      <c r="D4" s="75">
        <v>18</v>
      </c>
      <c r="E4" s="2" t="str">
        <f>Data!P3</f>
        <v>Wests Tigers</v>
      </c>
      <c r="G4" s="83"/>
      <c r="H4" s="83"/>
      <c r="I4" s="81"/>
      <c r="L4" s="66" t="str">
        <f>IF(P13="","",VLOOKUP($P13,$P13:$AB13,3,FALSE))</f>
        <v/>
      </c>
      <c r="M4" s="86" t="str">
        <f>IF(P13="","",VLOOKUP($P13,$P13:$AB13,4,FALSE))</f>
        <v/>
      </c>
      <c r="N4" s="66" t="str">
        <f>IF(P13="","",VLOOKUP($P13,$P13:$AB13,5,FALSE))</f>
        <v/>
      </c>
      <c r="P4" s="83" t="str">
        <f t="shared" ref="P4:P11" si="0">IF(D4="","",IF(C4&gt;D4,B4,E4))</f>
        <v>Knights</v>
      </c>
      <c r="Q4" s="83" t="str">
        <f t="shared" ref="Q4:Q11" si="1">IF($D4="","",IF($C4&lt;$D4,$B4,$E4))</f>
        <v>Wests Tigers</v>
      </c>
      <c r="R4" s="93" t="s">
        <v>15</v>
      </c>
      <c r="S4" s="18" t="s">
        <v>105</v>
      </c>
      <c r="T4" s="83">
        <f>3+T3</f>
        <v>10</v>
      </c>
    </row>
    <row r="5" spans="1:28" x14ac:dyDescent="0.3">
      <c r="A5" s="60">
        <v>2</v>
      </c>
      <c r="B5" s="2" t="str">
        <f>Data!O4</f>
        <v>Bulldogs</v>
      </c>
      <c r="C5" s="75"/>
      <c r="D5" s="75"/>
      <c r="E5" s="2" t="str">
        <f>Data!P4</f>
        <v>Broncos</v>
      </c>
      <c r="G5" s="81"/>
      <c r="H5" s="81"/>
      <c r="I5" s="81"/>
      <c r="J5" s="81"/>
      <c r="K5" s="80"/>
      <c r="L5" s="85"/>
      <c r="M5" s="87"/>
      <c r="N5" s="81"/>
      <c r="P5" s="83" t="str">
        <f t="shared" si="0"/>
        <v/>
      </c>
      <c r="Q5" s="83" t="str">
        <f t="shared" si="1"/>
        <v/>
      </c>
      <c r="R5" s="93" t="s">
        <v>16</v>
      </c>
      <c r="S5" s="18" t="s">
        <v>104</v>
      </c>
      <c r="T5" s="83" t="str">
        <f>"C4:D"&amp;T4</f>
        <v>C4:D10</v>
      </c>
    </row>
    <row r="6" spans="1:28" x14ac:dyDescent="0.3">
      <c r="A6" s="60">
        <v>3</v>
      </c>
      <c r="B6" s="2" t="str">
        <f>Data!O5</f>
        <v>Sea Eagles</v>
      </c>
      <c r="C6" s="75"/>
      <c r="D6" s="75"/>
      <c r="E6" s="2" t="str">
        <f>Data!P5</f>
        <v>Cowboys</v>
      </c>
      <c r="G6" s="137" t="s">
        <v>68</v>
      </c>
      <c r="H6" s="137"/>
      <c r="I6" s="137"/>
      <c r="J6" s="137"/>
      <c r="L6" s="137" t="s">
        <v>72</v>
      </c>
      <c r="M6" s="137"/>
      <c r="N6" s="137"/>
      <c r="P6" s="83" t="str">
        <f t="shared" si="0"/>
        <v/>
      </c>
      <c r="Q6" s="83" t="str">
        <f t="shared" si="1"/>
        <v/>
      </c>
      <c r="R6" s="94" t="s">
        <v>70</v>
      </c>
      <c r="S6" s="83" t="s">
        <v>90</v>
      </c>
      <c r="T6" s="95">
        <v>1</v>
      </c>
    </row>
    <row r="7" spans="1:28" x14ac:dyDescent="0.3">
      <c r="A7" s="60">
        <v>4</v>
      </c>
      <c r="B7" s="2" t="str">
        <f>Data!O6</f>
        <v>Roosters</v>
      </c>
      <c r="C7" s="75"/>
      <c r="D7" s="75"/>
      <c r="E7" s="2" t="str">
        <f>Data!P6</f>
        <v>Storm</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Warriors</v>
      </c>
      <c r="C8" s="75"/>
      <c r="D8" s="75"/>
      <c r="E8" s="2" t="str">
        <f>IF(Data!S$3&lt;'Live Ladder'!$A8,"",Data!P7)</f>
        <v>Sharks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Dolphins</v>
      </c>
      <c r="C9" s="75"/>
      <c r="D9" s="75"/>
      <c r="E9" s="2" t="str">
        <f>IF(Data!S$3&lt;'Live Ladder'!$A9,"",Data!P8)</f>
        <v>Panthers</v>
      </c>
      <c r="G9" s="89"/>
      <c r="H9" s="90"/>
      <c r="I9" s="76"/>
      <c r="J9" s="76"/>
      <c r="K9" s="77"/>
      <c r="L9" s="77"/>
      <c r="M9" s="76"/>
      <c r="N9" s="76"/>
      <c r="P9" s="83" t="str">
        <f t="shared" ref="P9" si="2">IF(D9="","",IF(C9&gt;D9,B9,E9))</f>
        <v/>
      </c>
      <c r="Q9" s="83" t="str">
        <f t="shared" si="1"/>
        <v/>
      </c>
    </row>
    <row r="10" spans="1:28" x14ac:dyDescent="0.3">
      <c r="A10" s="60">
        <v>7</v>
      </c>
      <c r="B10" s="2" t="str">
        <f>IF(Data!S$3&lt;'Live Ladder'!$A10,"",Data!O9)</f>
        <v>Eels</v>
      </c>
      <c r="C10" s="75"/>
      <c r="D10" s="75"/>
      <c r="E10" s="2" t="str">
        <f>IF(Data!S$3&lt;'Live Ladder'!$A10,"",Data!P9)</f>
        <v>Titans</v>
      </c>
      <c r="J10" s="62" t="str">
        <f>IF(J8="No Tips","Tips not submitted","")</f>
        <v/>
      </c>
      <c r="P10" s="83" t="str">
        <f t="shared" si="0"/>
        <v/>
      </c>
      <c r="Q10" s="83" t="str">
        <f t="shared" si="1"/>
        <v/>
      </c>
    </row>
    <row r="11" spans="1:28" x14ac:dyDescent="0.3">
      <c r="A11" s="60">
        <v>8</v>
      </c>
      <c r="B11" s="2" t="str">
        <f>IF(Data!S$3&lt;'Live Ladder'!$A11,"",Data!O10)</f>
        <v/>
      </c>
      <c r="C11" s="121"/>
      <c r="D11" s="121"/>
      <c r="E11" s="2" t="str">
        <f>IF(Data!S$3&lt;'Live Ladder'!$A11,"",Data!P10)</f>
        <v/>
      </c>
      <c r="P11" s="83" t="str">
        <f t="shared" si="0"/>
        <v/>
      </c>
      <c r="Q11" s="83" t="str">
        <f t="shared" si="1"/>
        <v/>
      </c>
      <c r="Z11" s="135" t="s">
        <v>72</v>
      </c>
      <c r="AA11" s="135"/>
      <c r="AB11" s="135"/>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7" t="s">
        <v>67</v>
      </c>
      <c r="C13" s="137"/>
      <c r="D13" s="137"/>
      <c r="E13" s="65" t="s">
        <v>69</v>
      </c>
      <c r="F13" s="66"/>
      <c r="G13" s="137" t="s">
        <v>68</v>
      </c>
      <c r="H13" s="137"/>
      <c r="I13" s="137"/>
      <c r="J13" s="137"/>
      <c r="K13" s="67"/>
      <c r="L13" s="137" t="s">
        <v>72</v>
      </c>
      <c r="M13" s="137"/>
      <c r="N13" s="137"/>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Big Baba</v>
      </c>
      <c r="F15" s="73"/>
      <c r="G15" s="9">
        <f>L15-VLOOKUP($A15,Engine!$D:$S,15,FALSE)</f>
        <v>3</v>
      </c>
      <c r="H15" s="9">
        <f>N15-VLOOKUP($A15,Engine!$D:$S,16,FALSE)</f>
        <v>34</v>
      </c>
      <c r="I15" s="10"/>
      <c r="J15" s="9" t="str">
        <f>IF(VLOOKUP(E15,Engine!H:Q,10,FALSE)=0,"",VLOOKUP(E15,Engine!H:Q,10,FALSE))</f>
        <v>Knights</v>
      </c>
      <c r="K15" s="74" t="str">
        <f t="shared" ref="K15:K46" si="3">IF(COUNTIF(P$4:P$11,J15)=1,R$6,IF(COUNTIF(Q$4:Q$11,J15)=1,R$7,""))</f>
        <v>ü</v>
      </c>
      <c r="L15" s="8">
        <f>VLOOKUP($A15,Engine!$D:$Z,22,FALSE)</f>
        <v>117</v>
      </c>
      <c r="M15" s="73"/>
      <c r="N15" s="8">
        <f>VLOOKUP($A15,Engine!$D:$Z,23,FALSE)</f>
        <v>3670</v>
      </c>
      <c r="O15" s="91"/>
    </row>
    <row r="16" spans="1:28" x14ac:dyDescent="0.3">
      <c r="A16" s="70">
        <f>A15+1</f>
        <v>2</v>
      </c>
      <c r="B16" s="8">
        <f t="shared" ref="B16:B46" si="4">A16</f>
        <v>2</v>
      </c>
      <c r="C16" s="71" t="str">
        <f>VLOOKUP($A16,Engine!$D:$H,2,FALSE)</f>
        <v>u</v>
      </c>
      <c r="D16" s="72" t="str">
        <f>VLOOKUP($A16,Engine!$D:$H,3,FALSE)</f>
        <v/>
      </c>
      <c r="E16" s="8" t="str">
        <f>VLOOKUP($A16,Engine!$D:$H,5,FALSE)</f>
        <v>I miss Benji</v>
      </c>
      <c r="F16" s="73"/>
      <c r="G16" s="9">
        <f>L16-VLOOKUP($A16,Engine!$D:$S,15,FALSE)</f>
        <v>3</v>
      </c>
      <c r="H16" s="9">
        <f>N16-VLOOKUP($A16,Engine!$D:$S,16,FALSE)</f>
        <v>34</v>
      </c>
      <c r="I16" s="10"/>
      <c r="J16" s="9" t="str">
        <f>IF(VLOOKUP(E16,Engine!H:Q,10,FALSE)=0,"",VLOOKUP(E16,Engine!H:Q,10,FALSE))</f>
        <v>Knights</v>
      </c>
      <c r="K16" s="74" t="str">
        <f t="shared" si="3"/>
        <v>ü</v>
      </c>
      <c r="L16" s="8">
        <f>VLOOKUP($A16,Engine!$D:$Z,22,FALSE)</f>
        <v>117</v>
      </c>
      <c r="M16" s="73"/>
      <c r="N16" s="8">
        <f>VLOOKUP($A16,Engine!$D:$Z,23,FALSE)</f>
        <v>3655</v>
      </c>
      <c r="O16" s="91"/>
    </row>
    <row r="17" spans="1:15" s="63" customFormat="1" x14ac:dyDescent="0.3">
      <c r="A17" s="70">
        <f t="shared" ref="A17:A80" si="5">A16+1</f>
        <v>3</v>
      </c>
      <c r="B17" s="8">
        <f t="shared" si="4"/>
        <v>3</v>
      </c>
      <c r="C17" s="71" t="str">
        <f>VLOOKUP($A17,Engine!$D:$H,2,FALSE)</f>
        <v>p</v>
      </c>
      <c r="D17" s="72">
        <f>VLOOKUP($A17,Engine!$D:$H,3,FALSE)</f>
        <v>1</v>
      </c>
      <c r="E17" s="8" t="str">
        <f>VLOOKUP($A17,Engine!$D:$H,5,FALSE)</f>
        <v>Guru2810</v>
      </c>
      <c r="F17" s="73"/>
      <c r="G17" s="9">
        <f>L17-VLOOKUP($A17,Engine!$D:$S,15,FALSE)</f>
        <v>3</v>
      </c>
      <c r="H17" s="9">
        <f>N17-VLOOKUP($A17,Engine!$D:$S,16,FALSE)</f>
        <v>34</v>
      </c>
      <c r="I17" s="10"/>
      <c r="J17" s="9" t="str">
        <f>IF(VLOOKUP(E17,Engine!H:Q,10,FALSE)=0,"",VLOOKUP(E17,Engine!H:Q,10,FALSE))</f>
        <v>Knights</v>
      </c>
      <c r="K17" s="74" t="str">
        <f t="shared" si="3"/>
        <v>ü</v>
      </c>
      <c r="L17" s="8">
        <f>VLOOKUP($A17,Engine!$D:$Z,22,FALSE)</f>
        <v>116</v>
      </c>
      <c r="M17" s="73"/>
      <c r="N17" s="8">
        <f>VLOOKUP($A17,Engine!$D:$Z,23,FALSE)</f>
        <v>3675</v>
      </c>
      <c r="O17" s="91"/>
    </row>
    <row r="18" spans="1:15" s="63" customFormat="1" x14ac:dyDescent="0.3">
      <c r="A18" s="70">
        <f t="shared" si="5"/>
        <v>4</v>
      </c>
      <c r="B18" s="8">
        <f t="shared" si="4"/>
        <v>4</v>
      </c>
      <c r="C18" s="71" t="str">
        <f>VLOOKUP($A18,Engine!$D:$H,2,FALSE)</f>
        <v>q</v>
      </c>
      <c r="D18" s="72">
        <f>VLOOKUP($A18,Engine!$D:$H,3,FALSE)</f>
        <v>1</v>
      </c>
      <c r="E18" s="8" t="str">
        <f>VLOOKUP($A18,Engine!$D:$H,5,FALSE)</f>
        <v>TheZipZipMan</v>
      </c>
      <c r="F18" s="73"/>
      <c r="G18" s="9">
        <f>L18-VLOOKUP($A18,Engine!$D:$S,15,FALSE)</f>
        <v>1</v>
      </c>
      <c r="H18" s="9">
        <f>N18-VLOOKUP($A18,Engine!$D:$S,16,FALSE)</f>
        <v>34</v>
      </c>
      <c r="I18" s="10"/>
      <c r="J18" s="9" t="str">
        <f>IF(VLOOKUP(E18,Engine!H:Q,10,FALSE)=0,"",VLOOKUP(E18,Engine!H:Q,10,FALSE))</f>
        <v>Broncos</v>
      </c>
      <c r="K18" s="74" t="str">
        <f t="shared" si="3"/>
        <v/>
      </c>
      <c r="L18" s="8">
        <f>VLOOKUP($A18,Engine!$D:$Z,22,FALSE)</f>
        <v>115</v>
      </c>
      <c r="M18" s="73"/>
      <c r="N18" s="8">
        <f>VLOOKUP($A18,Engine!$D:$Z,23,FALSE)</f>
        <v>3620</v>
      </c>
      <c r="O18" s="91"/>
    </row>
    <row r="19" spans="1:15" s="63" customFormat="1" x14ac:dyDescent="0.3">
      <c r="A19" s="70">
        <f t="shared" si="5"/>
        <v>5</v>
      </c>
      <c r="B19" s="8">
        <f t="shared" si="4"/>
        <v>5</v>
      </c>
      <c r="C19" s="71" t="str">
        <f>VLOOKUP($A19,Engine!$D:$H,2,FALSE)</f>
        <v>u</v>
      </c>
      <c r="D19" s="72" t="str">
        <f>VLOOKUP($A19,Engine!$D:$H,3,FALSE)</f>
        <v/>
      </c>
      <c r="E19" s="8" t="str">
        <f>VLOOKUP($A19,Engine!$D:$H,5,FALSE)</f>
        <v>Budgie</v>
      </c>
      <c r="F19" s="73"/>
      <c r="G19" s="9">
        <f>L19-VLOOKUP($A19,Engine!$D:$S,15,FALSE)</f>
        <v>3</v>
      </c>
      <c r="H19" s="9">
        <f>N19-VLOOKUP($A19,Engine!$D:$S,16,FALSE)</f>
        <v>34</v>
      </c>
      <c r="I19" s="10"/>
      <c r="J19" s="9" t="str">
        <f>IF(VLOOKUP(E19,Engine!H:Q,10,FALSE)=0,"",VLOOKUP(E19,Engine!H:Q,10,FALSE))</f>
        <v>Knights</v>
      </c>
      <c r="K19" s="74" t="str">
        <f t="shared" si="3"/>
        <v>ü</v>
      </c>
      <c r="L19" s="8">
        <f>VLOOKUP($A19,Engine!$D:$Z,22,FALSE)</f>
        <v>115</v>
      </c>
      <c r="M19" s="73"/>
      <c r="N19" s="8">
        <f>VLOOKUP($A19,Engine!$D:$Z,23,FALSE)</f>
        <v>3613</v>
      </c>
      <c r="O19" s="78"/>
    </row>
    <row r="20" spans="1:15" s="63" customFormat="1" x14ac:dyDescent="0.3">
      <c r="A20" s="70">
        <f t="shared" si="5"/>
        <v>6</v>
      </c>
      <c r="B20" s="8">
        <f t="shared" si="4"/>
        <v>6</v>
      </c>
      <c r="C20" s="71" t="str">
        <f>VLOOKUP($A20,Engine!$D:$H,2,FALSE)</f>
        <v>u</v>
      </c>
      <c r="D20" s="72" t="str">
        <f>VLOOKUP($A20,Engine!$D:$H,3,FALSE)</f>
        <v/>
      </c>
      <c r="E20" s="8" t="str">
        <f>VLOOKUP($A20,Engine!$D:$H,5,FALSE)</f>
        <v>UpthePamfers</v>
      </c>
      <c r="F20" s="73"/>
      <c r="G20" s="9">
        <f>L20-VLOOKUP($A20,Engine!$D:$S,15,FALSE)</f>
        <v>3</v>
      </c>
      <c r="H20" s="9">
        <f>N20-VLOOKUP($A20,Engine!$D:$S,16,FALSE)</f>
        <v>34</v>
      </c>
      <c r="I20" s="10"/>
      <c r="J20" s="9" t="str">
        <f>IF(VLOOKUP(E20,Engine!H:Q,10,FALSE)=0,"",VLOOKUP(E20,Engine!H:Q,10,FALSE))</f>
        <v>Knights</v>
      </c>
      <c r="K20" s="74" t="str">
        <f t="shared" si="3"/>
        <v>ü</v>
      </c>
      <c r="L20" s="8">
        <f>VLOOKUP($A20,Engine!$D:$Z,22,FALSE)</f>
        <v>115</v>
      </c>
      <c r="M20" s="73"/>
      <c r="N20" s="8">
        <f>VLOOKUP($A20,Engine!$D:$Z,23,FALSE)</f>
        <v>3603</v>
      </c>
      <c r="O20" s="78"/>
    </row>
    <row r="21" spans="1:15" s="63" customFormat="1" x14ac:dyDescent="0.3">
      <c r="A21" s="70">
        <f t="shared" si="5"/>
        <v>7</v>
      </c>
      <c r="B21" s="8">
        <f t="shared" si="4"/>
        <v>7</v>
      </c>
      <c r="C21" s="71" t="str">
        <f>VLOOKUP($A21,Engine!$D:$H,2,FALSE)</f>
        <v>u</v>
      </c>
      <c r="D21" s="72" t="str">
        <f>VLOOKUP($A21,Engine!$D:$H,3,FALSE)</f>
        <v/>
      </c>
      <c r="E21" s="8" t="str">
        <f>VLOOKUP($A21,Engine!$D:$H,5,FALSE)</f>
        <v>Splinter</v>
      </c>
      <c r="F21" s="73"/>
      <c r="G21" s="9">
        <f>L21-VLOOKUP($A21,Engine!$D:$S,15,FALSE)</f>
        <v>3</v>
      </c>
      <c r="H21" s="9">
        <f>N21-VLOOKUP($A21,Engine!$D:$S,16,FALSE)</f>
        <v>34</v>
      </c>
      <c r="I21" s="10"/>
      <c r="J21" s="9" t="str">
        <f>IF(VLOOKUP(E21,Engine!H:Q,10,FALSE)=0,"",VLOOKUP(E21,Engine!H:Q,10,FALSE))</f>
        <v>Knights</v>
      </c>
      <c r="K21" s="74" t="str">
        <f t="shared" si="3"/>
        <v>ü</v>
      </c>
      <c r="L21" s="8">
        <f>VLOOKUP($A21,Engine!$D:$Z,22,FALSE)</f>
        <v>114</v>
      </c>
      <c r="M21" s="73"/>
      <c r="N21" s="8">
        <f>VLOOKUP($A21,Engine!$D:$Z,23,FALSE)</f>
        <v>3528</v>
      </c>
      <c r="O21" s="78"/>
    </row>
    <row r="22" spans="1:15" s="63" customFormat="1" x14ac:dyDescent="0.3">
      <c r="A22" s="70">
        <f t="shared" si="5"/>
        <v>8</v>
      </c>
      <c r="B22" s="8">
        <f t="shared" si="4"/>
        <v>8</v>
      </c>
      <c r="C22" s="71" t="str">
        <f>VLOOKUP($A22,Engine!$D:$H,2,FALSE)</f>
        <v>u</v>
      </c>
      <c r="D22" s="72" t="str">
        <f>VLOOKUP($A22,Engine!$D:$H,3,FALSE)</f>
        <v/>
      </c>
      <c r="E22" s="8" t="str">
        <f>VLOOKUP($A22,Engine!$D:$H,5,FALSE)</f>
        <v>MLC</v>
      </c>
      <c r="F22" s="73"/>
      <c r="G22" s="9">
        <f>L22-VLOOKUP($A22,Engine!$D:$S,15,FALSE)</f>
        <v>1</v>
      </c>
      <c r="H22" s="9">
        <f>N22-VLOOKUP($A22,Engine!$D:$S,16,FALSE)</f>
        <v>34</v>
      </c>
      <c r="I22" s="10"/>
      <c r="J22" s="9" t="str">
        <f>IF(VLOOKUP(E22,Engine!H:Q,10,FALSE)=0,"",VLOOKUP(E22,Engine!H:Q,10,FALSE))</f>
        <v>Broncos</v>
      </c>
      <c r="K22" s="74" t="str">
        <f t="shared" si="3"/>
        <v/>
      </c>
      <c r="L22" s="8">
        <f>VLOOKUP($A22,Engine!$D:$Z,22,FALSE)</f>
        <v>112</v>
      </c>
      <c r="M22" s="73"/>
      <c r="N22" s="8">
        <f>VLOOKUP($A22,Engine!$D:$Z,23,FALSE)</f>
        <v>3426</v>
      </c>
      <c r="O22" s="78"/>
    </row>
    <row r="23" spans="1:15" s="63" customFormat="1" x14ac:dyDescent="0.3">
      <c r="A23" s="70">
        <f t="shared" si="5"/>
        <v>9</v>
      </c>
      <c r="B23" s="8">
        <f t="shared" si="4"/>
        <v>9</v>
      </c>
      <c r="C23" s="71" t="str">
        <f>VLOOKUP($A23,Engine!$D:$H,2,FALSE)</f>
        <v>u</v>
      </c>
      <c r="D23" s="72" t="str">
        <f>VLOOKUP($A23,Engine!$D:$H,3,FALSE)</f>
        <v/>
      </c>
      <c r="E23" s="8" t="str">
        <f>VLOOKUP($A23,Engine!$D:$H,5,FALSE)</f>
        <v>DaveM</v>
      </c>
      <c r="F23" s="73"/>
      <c r="G23" s="9">
        <f>L23-VLOOKUP($A23,Engine!$D:$S,15,FALSE)</f>
        <v>1</v>
      </c>
      <c r="H23" s="9">
        <f>N23-VLOOKUP($A23,Engine!$D:$S,16,FALSE)</f>
        <v>34</v>
      </c>
      <c r="I23" s="10"/>
      <c r="J23" s="9" t="str">
        <f>IF(VLOOKUP(E23,Engine!H:Q,10,FALSE)=0,"",VLOOKUP(E23,Engine!H:Q,10,FALSE))</f>
        <v>Panthers</v>
      </c>
      <c r="K23" s="74" t="str">
        <f t="shared" si="3"/>
        <v/>
      </c>
      <c r="L23" s="8">
        <f>VLOOKUP($A23,Engine!$D:$Z,22,FALSE)</f>
        <v>111</v>
      </c>
      <c r="M23" s="73"/>
      <c r="N23" s="8">
        <f>VLOOKUP($A23,Engine!$D:$Z,23,FALSE)</f>
        <v>3659</v>
      </c>
      <c r="O23" s="78"/>
    </row>
    <row r="24" spans="1:15" s="63" customFormat="1" x14ac:dyDescent="0.3">
      <c r="A24" s="70">
        <f t="shared" si="5"/>
        <v>10</v>
      </c>
      <c r="B24" s="8">
        <f t="shared" si="4"/>
        <v>10</v>
      </c>
      <c r="C24" s="71" t="str">
        <f>VLOOKUP($A24,Engine!$D:$H,2,FALSE)</f>
        <v>u</v>
      </c>
      <c r="D24" s="72" t="str">
        <f>VLOOKUP($A24,Engine!$D:$H,3,FALSE)</f>
        <v/>
      </c>
      <c r="E24" s="8" t="str">
        <f>VLOOKUP($A24,Engine!$D:$H,5,FALSE)</f>
        <v>The Creator</v>
      </c>
      <c r="F24" s="73"/>
      <c r="G24" s="9">
        <f>L24-VLOOKUP($A24,Engine!$D:$S,15,FALSE)</f>
        <v>1</v>
      </c>
      <c r="H24" s="9">
        <f>N24-VLOOKUP($A24,Engine!$D:$S,16,FALSE)</f>
        <v>34</v>
      </c>
      <c r="I24" s="10"/>
      <c r="J24" s="9" t="str">
        <f>IF(VLOOKUP(E24,Engine!H:Q,10,FALSE)=0,"",VLOOKUP(E24,Engine!H:Q,10,FALSE))</f>
        <v>Panthers</v>
      </c>
      <c r="K24" s="74" t="str">
        <f t="shared" si="3"/>
        <v/>
      </c>
      <c r="L24" s="8">
        <f>VLOOKUP($A24,Engine!$D:$Z,22,FALSE)</f>
        <v>111</v>
      </c>
      <c r="M24" s="73"/>
      <c r="N24" s="8">
        <f>VLOOKUP($A24,Engine!$D:$Z,23,FALSE)</f>
        <v>3565</v>
      </c>
      <c r="O24" s="78"/>
    </row>
    <row r="25" spans="1:15" s="63" customFormat="1" x14ac:dyDescent="0.3">
      <c r="A25" s="70">
        <f t="shared" si="5"/>
        <v>11</v>
      </c>
      <c r="B25" s="8">
        <f t="shared" si="4"/>
        <v>11</v>
      </c>
      <c r="C25" s="71" t="str">
        <f>VLOOKUP($A25,Engine!$D:$H,2,FALSE)</f>
        <v>u</v>
      </c>
      <c r="D25" s="72" t="str">
        <f>VLOOKUP($A25,Engine!$D:$H,3,FALSE)</f>
        <v/>
      </c>
      <c r="E25" s="8" t="str">
        <f>VLOOKUP($A25,Engine!$D:$H,5,FALSE)</f>
        <v>PabloW</v>
      </c>
      <c r="F25" s="73"/>
      <c r="G25" s="9">
        <f>L25-VLOOKUP($A25,Engine!$D:$S,15,FALSE)</f>
        <v>1</v>
      </c>
      <c r="H25" s="9">
        <f>N25-VLOOKUP($A25,Engine!$D:$S,16,FALSE)</f>
        <v>34</v>
      </c>
      <c r="I25" s="10"/>
      <c r="J25" s="9" t="str">
        <f>IF(VLOOKUP(E25,Engine!H:Q,10,FALSE)=0,"",VLOOKUP(E25,Engine!H:Q,10,FALSE))</f>
        <v>Panthers</v>
      </c>
      <c r="K25" s="74" t="str">
        <f t="shared" si="3"/>
        <v/>
      </c>
      <c r="L25" s="8">
        <f>VLOOKUP($A25,Engine!$D:$Z,22,FALSE)</f>
        <v>110</v>
      </c>
      <c r="M25" s="73"/>
      <c r="N25" s="8">
        <f>VLOOKUP($A25,Engine!$D:$Z,23,FALSE)</f>
        <v>3651</v>
      </c>
      <c r="O25" s="78"/>
    </row>
    <row r="26" spans="1:15" s="63" customFormat="1" x14ac:dyDescent="0.3">
      <c r="A26" s="70">
        <f t="shared" si="5"/>
        <v>12</v>
      </c>
      <c r="B26" s="8">
        <f t="shared" si="4"/>
        <v>12</v>
      </c>
      <c r="C26" s="71" t="str">
        <f>VLOOKUP($A26,Engine!$D:$H,2,FALSE)</f>
        <v>u</v>
      </c>
      <c r="D26" s="72" t="str">
        <f>VLOOKUP($A26,Engine!$D:$H,3,FALSE)</f>
        <v/>
      </c>
      <c r="E26" s="8" t="str">
        <f>VLOOKUP($A26,Engine!$D:$H,5,FALSE)</f>
        <v>Magnum</v>
      </c>
      <c r="F26" s="73"/>
      <c r="G26" s="9">
        <f>L26-VLOOKUP($A26,Engine!$D:$S,15,FALSE)</f>
        <v>1</v>
      </c>
      <c r="H26" s="9">
        <f>N26-VLOOKUP($A26,Engine!$D:$S,16,FALSE)</f>
        <v>34</v>
      </c>
      <c r="I26" s="10"/>
      <c r="J26" s="9" t="str">
        <f>IF(VLOOKUP(E26,Engine!H:Q,10,FALSE)=0,"",VLOOKUP(E26,Engine!H:Q,10,FALSE))</f>
        <v>Panthers</v>
      </c>
      <c r="K26" s="74" t="str">
        <f t="shared" si="3"/>
        <v/>
      </c>
      <c r="L26" s="8">
        <f>VLOOKUP($A26,Engine!$D:$Z,22,FALSE)</f>
        <v>109</v>
      </c>
      <c r="M26" s="73"/>
      <c r="N26" s="8">
        <f>VLOOKUP($A26,Engine!$D:$Z,23,FALSE)</f>
        <v>3740</v>
      </c>
      <c r="O26" s="78"/>
    </row>
    <row r="27" spans="1:15" s="63" customFormat="1" x14ac:dyDescent="0.3">
      <c r="A27" s="70">
        <f t="shared" si="5"/>
        <v>13</v>
      </c>
      <c r="B27" s="8">
        <f t="shared" si="4"/>
        <v>13</v>
      </c>
      <c r="C27" s="71" t="str">
        <f>VLOOKUP($A27,Engine!$D:$H,2,FALSE)</f>
        <v>u</v>
      </c>
      <c r="D27" s="72" t="str">
        <f>VLOOKUP($A27,Engine!$D:$H,3,FALSE)</f>
        <v/>
      </c>
      <c r="E27" s="8" t="str">
        <f>VLOOKUP($A27,Engine!$D:$H,5,FALSE)</f>
        <v>RoostersRock</v>
      </c>
      <c r="F27" s="73"/>
      <c r="G27" s="9">
        <f>L27-VLOOKUP($A27,Engine!$D:$S,15,FALSE)</f>
        <v>3</v>
      </c>
      <c r="H27" s="9">
        <f>N27-VLOOKUP($A27,Engine!$D:$S,16,FALSE)</f>
        <v>34</v>
      </c>
      <c r="I27" s="10"/>
      <c r="J27" s="9" t="str">
        <f>IF(VLOOKUP(E27,Engine!H:Q,10,FALSE)=0,"",VLOOKUP(E27,Engine!H:Q,10,FALSE))</f>
        <v>Knights</v>
      </c>
      <c r="K27" s="74" t="str">
        <f t="shared" si="3"/>
        <v>ü</v>
      </c>
      <c r="L27" s="8">
        <f>VLOOKUP($A27,Engine!$D:$Z,22,FALSE)</f>
        <v>109</v>
      </c>
      <c r="M27" s="73"/>
      <c r="N27" s="8">
        <f>VLOOKUP($A27,Engine!$D:$Z,23,FALSE)</f>
        <v>3602</v>
      </c>
      <c r="O27" s="78"/>
    </row>
    <row r="28" spans="1:15" s="63" customFormat="1" x14ac:dyDescent="0.3">
      <c r="A28" s="70">
        <f t="shared" si="5"/>
        <v>14</v>
      </c>
      <c r="B28" s="8">
        <f t="shared" si="4"/>
        <v>14</v>
      </c>
      <c r="C28" s="71" t="str">
        <f>VLOOKUP($A28,Engine!$D:$H,2,FALSE)</f>
        <v>u</v>
      </c>
      <c r="D28" s="72" t="str">
        <f>VLOOKUP($A28,Engine!$D:$H,3,FALSE)</f>
        <v/>
      </c>
      <c r="E28" s="8" t="str">
        <f>VLOOKUP($A28,Engine!$D:$H,5,FALSE)</f>
        <v>9986</v>
      </c>
      <c r="F28" s="73"/>
      <c r="G28" s="9">
        <f>L28-VLOOKUP($A28,Engine!$D:$S,15,FALSE)</f>
        <v>1</v>
      </c>
      <c r="H28" s="9">
        <f>N28-VLOOKUP($A28,Engine!$D:$S,16,FALSE)</f>
        <v>34</v>
      </c>
      <c r="I28" s="10"/>
      <c r="J28" s="9" t="str">
        <f>IF(VLOOKUP(E28,Engine!H:Q,10,FALSE)=0,"",VLOOKUP(E28,Engine!H:Q,10,FALSE))</f>
        <v>Panthers</v>
      </c>
      <c r="K28" s="74" t="str">
        <f t="shared" si="3"/>
        <v/>
      </c>
      <c r="L28" s="8">
        <f>VLOOKUP($A28,Engine!$D:$Z,22,FALSE)</f>
        <v>105</v>
      </c>
      <c r="M28" s="73"/>
      <c r="N28" s="8">
        <f>VLOOKUP($A28,Engine!$D:$Z,23,FALSE)</f>
        <v>3665</v>
      </c>
      <c r="O28" s="78"/>
    </row>
    <row r="29" spans="1:15" s="63" customFormat="1" x14ac:dyDescent="0.3">
      <c r="A29" s="70">
        <f t="shared" si="5"/>
        <v>15</v>
      </c>
      <c r="B29" s="8">
        <f t="shared" si="4"/>
        <v>15</v>
      </c>
      <c r="C29" s="71" t="str">
        <f>VLOOKUP($A29,Engine!$D:$H,2,FALSE)</f>
        <v>u</v>
      </c>
      <c r="D29" s="72" t="str">
        <f>VLOOKUP($A29,Engine!$D:$H,3,FALSE)</f>
        <v/>
      </c>
      <c r="E29" s="8" t="str">
        <f>VLOOKUP($A29,Engine!$D:$H,5,FALSE)</f>
        <v>Micrider</v>
      </c>
      <c r="F29" s="73"/>
      <c r="G29" s="9">
        <f>L29-VLOOKUP($A29,Engine!$D:$S,15,FALSE)</f>
        <v>1</v>
      </c>
      <c r="H29" s="9">
        <f>N29-VLOOKUP($A29,Engine!$D:$S,16,FALSE)</f>
        <v>34</v>
      </c>
      <c r="I29" s="10"/>
      <c r="J29" s="9" t="str">
        <f>IF(VLOOKUP(E29,Engine!H:Q,10,FALSE)=0,"",VLOOKUP(E29,Engine!H:Q,10,FALSE))</f>
        <v>Panthers</v>
      </c>
      <c r="K29" s="74" t="str">
        <f t="shared" si="3"/>
        <v/>
      </c>
      <c r="L29" s="8">
        <f>VLOOKUP($A29,Engine!$D:$Z,22,FALSE)</f>
        <v>103</v>
      </c>
      <c r="M29" s="73"/>
      <c r="N29" s="8">
        <f>VLOOKUP($A29,Engine!$D:$Z,23,FALSE)</f>
        <v>3484</v>
      </c>
      <c r="O29" s="78"/>
    </row>
    <row r="30" spans="1:15" s="63" customFormat="1" x14ac:dyDescent="0.3">
      <c r="A30" s="70">
        <f t="shared" si="5"/>
        <v>16</v>
      </c>
      <c r="B30" s="8">
        <f t="shared" si="4"/>
        <v>16</v>
      </c>
      <c r="C30" s="71" t="str">
        <f>VLOOKUP($A30,Engine!$D:$H,2,FALSE)</f>
        <v>u</v>
      </c>
      <c r="D30" s="72" t="str">
        <f>VLOOKUP($A30,Engine!$D:$H,3,FALSE)</f>
        <v/>
      </c>
      <c r="E30" s="8" t="str">
        <f>VLOOKUP($A30,Engine!$D:$H,5,FALSE)</f>
        <v>MR. TAYLOR</v>
      </c>
      <c r="F30" s="73"/>
      <c r="G30" s="9">
        <f>L30-VLOOKUP($A30,Engine!$D:$S,15,FALSE)</f>
        <v>1</v>
      </c>
      <c r="H30" s="9">
        <f>N30-VLOOKUP($A30,Engine!$D:$S,16,FALSE)</f>
        <v>34</v>
      </c>
      <c r="I30" s="10"/>
      <c r="J30" s="9" t="str">
        <f>IF(VLOOKUP(E30,Engine!H:Q,10,FALSE)=0,"",VLOOKUP(E30,Engine!H:Q,10,FALSE))</f>
        <v>Eels</v>
      </c>
      <c r="K30" s="74" t="str">
        <f t="shared" si="3"/>
        <v/>
      </c>
      <c r="L30" s="8">
        <f>VLOOKUP($A30,Engine!$D:$Z,22,FALSE)</f>
        <v>102</v>
      </c>
      <c r="M30" s="73"/>
      <c r="N30" s="8">
        <f>VLOOKUP($A30,Engine!$D:$Z,23,FALSE)</f>
        <v>3634</v>
      </c>
      <c r="O30" s="78"/>
    </row>
    <row r="31" spans="1:15" s="63" customFormat="1" x14ac:dyDescent="0.3">
      <c r="A31" s="70">
        <f t="shared" si="5"/>
        <v>17</v>
      </c>
      <c r="B31" s="8">
        <f t="shared" si="4"/>
        <v>17</v>
      </c>
      <c r="C31" s="71" t="str">
        <f>VLOOKUP($A31,Engine!$D:$H,2,FALSE)</f>
        <v>p</v>
      </c>
      <c r="D31" s="72">
        <f>VLOOKUP($A31,Engine!$D:$H,3,FALSE)</f>
        <v>4</v>
      </c>
      <c r="E31" s="8" t="str">
        <f>VLOOKUP($A31,Engine!$D:$H,5,FALSE)</f>
        <v>Ian from Dublin</v>
      </c>
      <c r="F31" s="73"/>
      <c r="G31" s="9">
        <f>L31-VLOOKUP($A31,Engine!$D:$S,15,FALSE)</f>
        <v>3</v>
      </c>
      <c r="H31" s="9">
        <f>N31-VLOOKUP($A31,Engine!$D:$S,16,FALSE)</f>
        <v>34</v>
      </c>
      <c r="I31" s="10"/>
      <c r="J31" s="9" t="str">
        <f>IF(VLOOKUP(E31,Engine!H:Q,10,FALSE)=0,"",VLOOKUP(E31,Engine!H:Q,10,FALSE))</f>
        <v>Knights</v>
      </c>
      <c r="K31" s="74" t="str">
        <f t="shared" si="3"/>
        <v>ü</v>
      </c>
      <c r="L31" s="8">
        <f>VLOOKUP($A31,Engine!$D:$Z,22,FALSE)</f>
        <v>101</v>
      </c>
      <c r="M31" s="73"/>
      <c r="N31" s="8">
        <f>VLOOKUP($A31,Engine!$D:$Z,23,FALSE)</f>
        <v>3549</v>
      </c>
      <c r="O31" s="78"/>
    </row>
    <row r="32" spans="1:15" s="63" customFormat="1" x14ac:dyDescent="0.3">
      <c r="A32" s="70">
        <f t="shared" si="5"/>
        <v>18</v>
      </c>
      <c r="B32" s="8">
        <f t="shared" si="4"/>
        <v>18</v>
      </c>
      <c r="C32" s="71" t="str">
        <f>VLOOKUP($A32,Engine!$D:$H,2,FALSE)</f>
        <v>q</v>
      </c>
      <c r="D32" s="72">
        <f>VLOOKUP($A32,Engine!$D:$H,3,FALSE)</f>
        <v>1</v>
      </c>
      <c r="E32" s="8" t="str">
        <f>VLOOKUP($A32,Engine!$D:$H,5,FALSE)</f>
        <v>Carlos</v>
      </c>
      <c r="F32" s="73"/>
      <c r="G32" s="9">
        <f>L32-VLOOKUP($A32,Engine!$D:$S,15,FALSE)</f>
        <v>1</v>
      </c>
      <c r="H32" s="9">
        <f>N32-VLOOKUP($A32,Engine!$D:$S,16,FALSE)</f>
        <v>34</v>
      </c>
      <c r="I32" s="10"/>
      <c r="J32" s="9" t="str">
        <f>IF(VLOOKUP(E32,Engine!H:Q,10,FALSE)=0,"",VLOOKUP(E32,Engine!H:Q,10,FALSE))</f>
        <v>Broncos</v>
      </c>
      <c r="K32" s="74" t="str">
        <f t="shared" si="3"/>
        <v/>
      </c>
      <c r="L32" s="8">
        <f>VLOOKUP($A32,Engine!$D:$Z,22,FALSE)</f>
        <v>101</v>
      </c>
      <c r="M32" s="73"/>
      <c r="N32" s="8">
        <f>VLOOKUP($A32,Engine!$D:$Z,23,FALSE)</f>
        <v>3522</v>
      </c>
      <c r="O32" s="78"/>
    </row>
    <row r="33" spans="1:15" s="63" customFormat="1" x14ac:dyDescent="0.3">
      <c r="A33" s="70">
        <f t="shared" si="5"/>
        <v>19</v>
      </c>
      <c r="B33" s="8">
        <f t="shared" si="4"/>
        <v>19</v>
      </c>
      <c r="C33" s="71" t="str">
        <f>VLOOKUP($A33,Engine!$D:$H,2,FALSE)</f>
        <v>q</v>
      </c>
      <c r="D33" s="72">
        <f>VLOOKUP($A33,Engine!$D:$H,3,FALSE)</f>
        <v>1</v>
      </c>
      <c r="E33" s="8" t="str">
        <f>VLOOKUP($A33,Engine!$D:$H,5,FALSE)</f>
        <v>Runner</v>
      </c>
      <c r="F33" s="73"/>
      <c r="G33" s="9">
        <f>L33-VLOOKUP($A33,Engine!$D:$S,15,FALSE)</f>
        <v>1</v>
      </c>
      <c r="H33" s="9">
        <f>N33-VLOOKUP($A33,Engine!$D:$S,16,FALSE)</f>
        <v>34</v>
      </c>
      <c r="I33" s="10"/>
      <c r="J33" s="9" t="str">
        <f>IF(VLOOKUP(E33,Engine!H:Q,10,FALSE)=0,"",VLOOKUP(E33,Engine!H:Q,10,FALSE))</f>
        <v>Broncos</v>
      </c>
      <c r="K33" s="74" t="str">
        <f t="shared" si="3"/>
        <v/>
      </c>
      <c r="L33" s="8">
        <f>VLOOKUP($A33,Engine!$D:$Z,22,FALSE)</f>
        <v>101</v>
      </c>
      <c r="M33" s="73"/>
      <c r="N33" s="8">
        <f>VLOOKUP($A33,Engine!$D:$Z,23,FALSE)</f>
        <v>3496</v>
      </c>
      <c r="O33" s="78"/>
    </row>
    <row r="34" spans="1:15" s="63" customFormat="1" x14ac:dyDescent="0.3">
      <c r="A34" s="70">
        <f t="shared" si="5"/>
        <v>20</v>
      </c>
      <c r="B34" s="8">
        <f t="shared" si="4"/>
        <v>20</v>
      </c>
      <c r="C34" s="71" t="str">
        <f>VLOOKUP($A34,Engine!$D:$H,2,FALSE)</f>
        <v>q</v>
      </c>
      <c r="D34" s="72">
        <f>VLOOKUP($A34,Engine!$D:$H,3,FALSE)</f>
        <v>1</v>
      </c>
      <c r="E34" s="8" t="str">
        <f>VLOOKUP($A34,Engine!$D:$H,5,FALSE)</f>
        <v>Rossco the Pom</v>
      </c>
      <c r="F34" s="73"/>
      <c r="G34" s="9">
        <f>L34-VLOOKUP($A34,Engine!$D:$S,15,FALSE)</f>
        <v>1</v>
      </c>
      <c r="H34" s="9">
        <f>N34-VLOOKUP($A34,Engine!$D:$S,16,FALSE)</f>
        <v>34</v>
      </c>
      <c r="I34" s="10"/>
      <c r="J34" s="9" t="str">
        <f>IF(VLOOKUP(E34,Engine!H:Q,10,FALSE)=0,"",VLOOKUP(E34,Engine!H:Q,10,FALSE))</f>
        <v>Panthers</v>
      </c>
      <c r="K34" s="74" t="str">
        <f t="shared" si="3"/>
        <v/>
      </c>
      <c r="L34" s="8">
        <f>VLOOKUP($A34,Engine!$D:$Z,22,FALSE)</f>
        <v>100</v>
      </c>
      <c r="M34" s="73"/>
      <c r="N34" s="8">
        <f>VLOOKUP($A34,Engine!$D:$Z,23,FALSE)</f>
        <v>3606</v>
      </c>
      <c r="O34" s="78"/>
    </row>
    <row r="35" spans="1:15" s="63" customFormat="1" x14ac:dyDescent="0.3">
      <c r="A35" s="70">
        <f t="shared" si="5"/>
        <v>21</v>
      </c>
      <c r="B35" s="8">
        <f t="shared" si="4"/>
        <v>21</v>
      </c>
      <c r="C35" s="71" t="str">
        <f>VLOOKUP($A35,Engine!$D:$H,2,FALSE)</f>
        <v>p</v>
      </c>
      <c r="D35" s="72">
        <f>VLOOKUP($A35,Engine!$D:$H,3,FALSE)</f>
        <v>3</v>
      </c>
      <c r="E35" s="8" t="str">
        <f>VLOOKUP($A35,Engine!$D:$H,5,FALSE)</f>
        <v>gdadisho</v>
      </c>
      <c r="F35" s="73"/>
      <c r="G35" s="9">
        <f>L35-VLOOKUP($A35,Engine!$D:$S,15,FALSE)</f>
        <v>3</v>
      </c>
      <c r="H35" s="9">
        <f>N35-VLOOKUP($A35,Engine!$D:$S,16,FALSE)</f>
        <v>34</v>
      </c>
      <c r="I35" s="10"/>
      <c r="J35" s="9" t="str">
        <f>IF(VLOOKUP(E35,Engine!H:Q,10,FALSE)=0,"",VLOOKUP(E35,Engine!H:Q,10,FALSE))</f>
        <v>Knights</v>
      </c>
      <c r="K35" s="74" t="str">
        <f t="shared" si="3"/>
        <v>ü</v>
      </c>
      <c r="L35" s="8">
        <f>VLOOKUP($A35,Engine!$D:$Z,22,FALSE)</f>
        <v>100</v>
      </c>
      <c r="M35" s="73"/>
      <c r="N35" s="8">
        <f>VLOOKUP($A35,Engine!$D:$Z,23,FALSE)</f>
        <v>3540</v>
      </c>
      <c r="O35" s="78"/>
    </row>
    <row r="36" spans="1:15" s="63" customFormat="1" x14ac:dyDescent="0.3">
      <c r="A36" s="70">
        <f t="shared" si="5"/>
        <v>22</v>
      </c>
      <c r="B36" s="8">
        <f t="shared" si="4"/>
        <v>22</v>
      </c>
      <c r="C36" s="71" t="str">
        <f>VLOOKUP($A36,Engine!$D:$H,2,FALSE)</f>
        <v>q</v>
      </c>
      <c r="D36" s="72">
        <f>VLOOKUP($A36,Engine!$D:$H,3,FALSE)</f>
        <v>2</v>
      </c>
      <c r="E36" s="8" t="str">
        <f>VLOOKUP($A36,Engine!$D:$H,5,FALSE)</f>
        <v>MB</v>
      </c>
      <c r="F36" s="73"/>
      <c r="G36" s="9">
        <f>L36-VLOOKUP($A36,Engine!$D:$S,15,FALSE)</f>
        <v>1</v>
      </c>
      <c r="H36" s="9">
        <f>N36-VLOOKUP($A36,Engine!$D:$S,16,FALSE)</f>
        <v>34</v>
      </c>
      <c r="I36" s="10"/>
      <c r="J36" s="9" t="str">
        <f>IF(VLOOKUP(E36,Engine!H:Q,10,FALSE)=0,"",VLOOKUP(E36,Engine!H:Q,10,FALSE))</f>
        <v>Panthers</v>
      </c>
      <c r="K36" s="74" t="str">
        <f t="shared" si="3"/>
        <v/>
      </c>
      <c r="L36" s="8">
        <f>VLOOKUP($A36,Engine!$D:$Z,22,FALSE)</f>
        <v>99</v>
      </c>
      <c r="M36" s="73"/>
      <c r="N36" s="8">
        <f>VLOOKUP($A36,Engine!$D:$Z,23,FALSE)</f>
        <v>3640</v>
      </c>
      <c r="O36" s="78"/>
    </row>
    <row r="37" spans="1:15" s="63" customFormat="1" x14ac:dyDescent="0.3">
      <c r="A37" s="70">
        <f t="shared" si="5"/>
        <v>23</v>
      </c>
      <c r="B37" s="8">
        <f t="shared" si="4"/>
        <v>23</v>
      </c>
      <c r="C37" s="71" t="str">
        <f>VLOOKUP($A37,Engine!$D:$H,2,FALSE)</f>
        <v>q</v>
      </c>
      <c r="D37" s="72">
        <f>VLOOKUP($A37,Engine!$D:$H,3,FALSE)</f>
        <v>1</v>
      </c>
      <c r="E37" s="8" t="str">
        <f>VLOOKUP($A37,Engine!$D:$H,5,FALSE)</f>
        <v>T-Bone</v>
      </c>
      <c r="F37" s="73"/>
      <c r="G37" s="9">
        <f>L37-VLOOKUP($A37,Engine!$D:$S,15,FALSE)</f>
        <v>1</v>
      </c>
      <c r="H37" s="9">
        <f>N37-VLOOKUP($A37,Engine!$D:$S,16,FALSE)</f>
        <v>34</v>
      </c>
      <c r="I37" s="10"/>
      <c r="J37" s="9" t="str">
        <f>IF(VLOOKUP(E37,Engine!H:Q,10,FALSE)=0,"",VLOOKUP(E37,Engine!H:Q,10,FALSE))</f>
        <v>Eels</v>
      </c>
      <c r="K37" s="74" t="str">
        <f t="shared" si="3"/>
        <v/>
      </c>
      <c r="L37" s="8">
        <f>VLOOKUP($A37,Engine!$D:$Z,22,FALSE)</f>
        <v>99</v>
      </c>
      <c r="M37" s="73"/>
      <c r="N37" s="8">
        <f>VLOOKUP($A37,Engine!$D:$Z,23,FALSE)</f>
        <v>3408</v>
      </c>
      <c r="O37" s="78"/>
    </row>
    <row r="38" spans="1:15" s="63" customFormat="1" x14ac:dyDescent="0.3">
      <c r="A38" s="70">
        <f t="shared" si="5"/>
        <v>24</v>
      </c>
      <c r="B38" s="8">
        <f t="shared" si="4"/>
        <v>24</v>
      </c>
      <c r="C38" s="71" t="str">
        <f>VLOOKUP($A38,Engine!$D:$H,2,FALSE)</f>
        <v>p</v>
      </c>
      <c r="D38" s="72">
        <f>VLOOKUP($A38,Engine!$D:$H,3,FALSE)</f>
        <v>2</v>
      </c>
      <c r="E38" s="8" t="str">
        <f>VLOOKUP($A38,Engine!$D:$H,5,FALSE)</f>
        <v>SMOG</v>
      </c>
      <c r="F38" s="73"/>
      <c r="G38" s="9">
        <f>L38-VLOOKUP($A38,Engine!$D:$S,15,FALSE)</f>
        <v>3</v>
      </c>
      <c r="H38" s="9">
        <f>N38-VLOOKUP($A38,Engine!$D:$S,16,FALSE)</f>
        <v>34</v>
      </c>
      <c r="I38" s="10"/>
      <c r="J38" s="9" t="str">
        <f>IF(VLOOKUP(E38,Engine!H:Q,10,FALSE)=0,"",VLOOKUP(E38,Engine!H:Q,10,FALSE))</f>
        <v>Knights</v>
      </c>
      <c r="K38" s="74" t="str">
        <f t="shared" si="3"/>
        <v>ü</v>
      </c>
      <c r="L38" s="8">
        <f>VLOOKUP($A38,Engine!$D:$Z,22,FALSE)</f>
        <v>98</v>
      </c>
      <c r="M38" s="73"/>
      <c r="N38" s="8">
        <f>VLOOKUP($A38,Engine!$D:$Z,23,FALSE)</f>
        <v>3614</v>
      </c>
      <c r="O38" s="78"/>
    </row>
    <row r="39" spans="1:15" s="63" customFormat="1" x14ac:dyDescent="0.3">
      <c r="A39" s="70">
        <f t="shared" si="5"/>
        <v>25</v>
      </c>
      <c r="B39" s="8">
        <f t="shared" si="4"/>
        <v>25</v>
      </c>
      <c r="C39" s="71" t="str">
        <f>VLOOKUP($A39,Engine!$D:$H,2,FALSE)</f>
        <v>p</v>
      </c>
      <c r="D39" s="72">
        <f>VLOOKUP($A39,Engine!$D:$H,3,FALSE)</f>
        <v>3</v>
      </c>
      <c r="E39" s="8" t="str">
        <f>VLOOKUP($A39,Engine!$D:$H,5,FALSE)</f>
        <v>murch</v>
      </c>
      <c r="F39" s="73"/>
      <c r="G39" s="9">
        <f>L39-VLOOKUP($A39,Engine!$D:$S,15,FALSE)</f>
        <v>3</v>
      </c>
      <c r="H39" s="9">
        <f>N39-VLOOKUP($A39,Engine!$D:$S,16,FALSE)</f>
        <v>34</v>
      </c>
      <c r="I39" s="10"/>
      <c r="J39" s="9" t="str">
        <f>IF(VLOOKUP(E39,Engine!H:Q,10,FALSE)=0,"",VLOOKUP(E39,Engine!H:Q,10,FALSE))</f>
        <v>Knights</v>
      </c>
      <c r="K39" s="74" t="str">
        <f t="shared" si="3"/>
        <v>ü</v>
      </c>
      <c r="L39" s="8">
        <f>VLOOKUP($A39,Engine!$D:$Z,22,FALSE)</f>
        <v>97</v>
      </c>
      <c r="M39" s="73"/>
      <c r="N39" s="8">
        <f>VLOOKUP($A39,Engine!$D:$Z,23,FALSE)</f>
        <v>3651</v>
      </c>
      <c r="O39" s="78"/>
    </row>
    <row r="40" spans="1:15" s="63" customFormat="1" x14ac:dyDescent="0.3">
      <c r="A40" s="70">
        <f t="shared" si="5"/>
        <v>26</v>
      </c>
      <c r="B40" s="8">
        <f t="shared" si="4"/>
        <v>26</v>
      </c>
      <c r="C40" s="71" t="str">
        <f>VLOOKUP($A40,Engine!$D:$H,2,FALSE)</f>
        <v>p</v>
      </c>
      <c r="D40" s="72">
        <f>VLOOKUP($A40,Engine!$D:$H,3,FALSE)</f>
        <v>3</v>
      </c>
      <c r="E40" s="8" t="str">
        <f>VLOOKUP($A40,Engine!$D:$H,5,FALSE)</f>
        <v>Chunka</v>
      </c>
      <c r="F40" s="73"/>
      <c r="G40" s="9">
        <f>L40-VLOOKUP($A40,Engine!$D:$S,15,FALSE)</f>
        <v>3</v>
      </c>
      <c r="H40" s="9">
        <f>N40-VLOOKUP($A40,Engine!$D:$S,16,FALSE)</f>
        <v>34</v>
      </c>
      <c r="I40" s="10"/>
      <c r="J40" s="9" t="str">
        <f>IF(VLOOKUP(E40,Engine!H:Q,10,FALSE)=0,"",VLOOKUP(E40,Engine!H:Q,10,FALSE))</f>
        <v>Knights</v>
      </c>
      <c r="K40" s="74" t="str">
        <f t="shared" si="3"/>
        <v>ü</v>
      </c>
      <c r="L40" s="8">
        <f>VLOOKUP($A40,Engine!$D:$Z,22,FALSE)</f>
        <v>97</v>
      </c>
      <c r="M40" s="73"/>
      <c r="N40" s="8">
        <f>VLOOKUP($A40,Engine!$D:$Z,23,FALSE)</f>
        <v>3615</v>
      </c>
      <c r="O40" s="78"/>
    </row>
    <row r="41" spans="1:15" s="63" customFormat="1" x14ac:dyDescent="0.3">
      <c r="A41" s="70">
        <f t="shared" si="5"/>
        <v>27</v>
      </c>
      <c r="B41" s="8">
        <f t="shared" si="4"/>
        <v>27</v>
      </c>
      <c r="C41" s="71" t="str">
        <f>VLOOKUP($A41,Engine!$D:$H,2,FALSE)</f>
        <v>q</v>
      </c>
      <c r="D41" s="72">
        <f>VLOOKUP($A41,Engine!$D:$H,3,FALSE)</f>
        <v>2</v>
      </c>
      <c r="E41" s="8" t="str">
        <f>VLOOKUP($A41,Engine!$D:$H,5,FALSE)</f>
        <v>Seano</v>
      </c>
      <c r="F41" s="73"/>
      <c r="G41" s="9">
        <f>L41-VLOOKUP($A41,Engine!$D:$S,15,FALSE)</f>
        <v>1</v>
      </c>
      <c r="H41" s="9">
        <f>N41-VLOOKUP($A41,Engine!$D:$S,16,FALSE)</f>
        <v>34</v>
      </c>
      <c r="I41" s="10"/>
      <c r="J41" s="9" t="str">
        <f>IF(VLOOKUP(E41,Engine!H:Q,10,FALSE)=0,"",VLOOKUP(E41,Engine!H:Q,10,FALSE))</f>
        <v>Panthers</v>
      </c>
      <c r="K41" s="74" t="str">
        <f t="shared" si="3"/>
        <v/>
      </c>
      <c r="L41" s="8">
        <f>VLOOKUP($A41,Engine!$D:$Z,22,FALSE)</f>
        <v>97</v>
      </c>
      <c r="M41" s="73"/>
      <c r="N41" s="8">
        <f>VLOOKUP($A41,Engine!$D:$Z,23,FALSE)</f>
        <v>3483</v>
      </c>
      <c r="O41" s="78"/>
    </row>
    <row r="42" spans="1:15" s="63" customFormat="1" x14ac:dyDescent="0.3">
      <c r="A42" s="70">
        <f t="shared" si="5"/>
        <v>28</v>
      </c>
      <c r="B42" s="8">
        <f t="shared" si="4"/>
        <v>28</v>
      </c>
      <c r="C42" s="71" t="str">
        <f>VLOOKUP($A42,Engine!$D:$H,2,FALSE)</f>
        <v>q</v>
      </c>
      <c r="D42" s="72">
        <f>VLOOKUP($A42,Engine!$D:$H,3,FALSE)</f>
        <v>1</v>
      </c>
      <c r="E42" s="8" t="str">
        <f>VLOOKUP($A42,Engine!$D:$H,5,FALSE)</f>
        <v>StuartS</v>
      </c>
      <c r="F42" s="73"/>
      <c r="G42" s="9">
        <f>L42-VLOOKUP($A42,Engine!$D:$S,15,FALSE)</f>
        <v>0</v>
      </c>
      <c r="H42" s="9">
        <f>N42-VLOOKUP($A42,Engine!$D:$S,16,FALSE)</f>
        <v>18</v>
      </c>
      <c r="I42" s="10"/>
      <c r="J42" s="9" t="str">
        <f>IF(VLOOKUP(E42,Engine!H:Q,10,FALSE)=0,"",VLOOKUP(E42,Engine!H:Q,10,FALSE))</f>
        <v>Panthers</v>
      </c>
      <c r="K42" s="74" t="str">
        <f t="shared" si="3"/>
        <v/>
      </c>
      <c r="L42" s="8">
        <f>VLOOKUP($A42,Engine!$D:$Z,22,FALSE)</f>
        <v>95</v>
      </c>
      <c r="M42" s="73"/>
      <c r="N42" s="8">
        <f>VLOOKUP($A42,Engine!$D:$Z,23,FALSE)</f>
        <v>3544</v>
      </c>
      <c r="O42" s="78"/>
    </row>
    <row r="43" spans="1:15" s="63" customFormat="1" x14ac:dyDescent="0.3">
      <c r="A43" s="70">
        <f t="shared" si="5"/>
        <v>29</v>
      </c>
      <c r="B43" s="8">
        <f t="shared" si="4"/>
        <v>29</v>
      </c>
      <c r="C43" s="71" t="str">
        <f>VLOOKUP($A43,Engine!$D:$H,2,FALSE)</f>
        <v>q</v>
      </c>
      <c r="D43" s="72">
        <f>VLOOKUP($A43,Engine!$D:$H,3,FALSE)</f>
        <v>6</v>
      </c>
      <c r="E43" s="8" t="str">
        <f>VLOOKUP($A43,Engine!$D:$H,5,FALSE)</f>
        <v>Admireel</v>
      </c>
      <c r="F43" s="73"/>
      <c r="G43" s="9">
        <f>L43-VLOOKUP($A43,Engine!$D:$S,15,FALSE)</f>
        <v>-2</v>
      </c>
      <c r="H43" s="9">
        <f>N43-VLOOKUP($A43,Engine!$D:$S,16,FALSE)</f>
        <v>18</v>
      </c>
      <c r="I43" s="10"/>
      <c r="J43" s="9" t="str">
        <f>IF(VLOOKUP(E43,Engine!H:Q,10,FALSE)=0,"",VLOOKUP(E43,Engine!H:Q,10,FALSE))</f>
        <v>No Tips</v>
      </c>
      <c r="K43" s="74" t="str">
        <f t="shared" si="3"/>
        <v/>
      </c>
      <c r="L43" s="8">
        <f>VLOOKUP($A43,Engine!$D:$Z,22,FALSE)</f>
        <v>95</v>
      </c>
      <c r="M43" s="73"/>
      <c r="N43" s="8">
        <f>VLOOKUP($A43,Engine!$D:$Z,23,FALSE)</f>
        <v>3528</v>
      </c>
      <c r="O43" s="78"/>
    </row>
    <row r="44" spans="1:15" s="63" customFormat="1" x14ac:dyDescent="0.3">
      <c r="A44" s="70">
        <f t="shared" si="5"/>
        <v>30</v>
      </c>
      <c r="B44" s="8">
        <f t="shared" si="4"/>
        <v>30</v>
      </c>
      <c r="C44" s="71" t="str">
        <f>VLOOKUP($A44,Engine!$D:$H,2,FALSE)</f>
        <v>p</v>
      </c>
      <c r="D44" s="72">
        <f>VLOOKUP($A44,Engine!$D:$H,3,FALSE)</f>
        <v>1</v>
      </c>
      <c r="E44" s="8" t="str">
        <f>VLOOKUP($A44,Engine!$D:$H,5,FALSE)</f>
        <v>Year of the Knights</v>
      </c>
      <c r="F44" s="73"/>
      <c r="G44" s="9">
        <f>L44-VLOOKUP($A44,Engine!$D:$S,15,FALSE)</f>
        <v>3</v>
      </c>
      <c r="H44" s="9">
        <f>N44-VLOOKUP($A44,Engine!$D:$S,16,FALSE)</f>
        <v>34</v>
      </c>
      <c r="I44" s="10"/>
      <c r="J44" s="9" t="str">
        <f>IF(VLOOKUP(E44,Engine!H:Q,10,FALSE)=0,"",VLOOKUP(E44,Engine!H:Q,10,FALSE))</f>
        <v>Knights</v>
      </c>
      <c r="K44" s="74" t="str">
        <f t="shared" si="3"/>
        <v>ü</v>
      </c>
      <c r="L44" s="8">
        <f>VLOOKUP($A44,Engine!$D:$Z,22,FALSE)</f>
        <v>95</v>
      </c>
      <c r="M44" s="73"/>
      <c r="N44" s="8">
        <f>VLOOKUP($A44,Engine!$D:$Z,23,FALSE)</f>
        <v>3501</v>
      </c>
      <c r="O44" s="78"/>
    </row>
    <row r="45" spans="1:15" s="63" customFormat="1" x14ac:dyDescent="0.3">
      <c r="A45" s="70">
        <f t="shared" si="5"/>
        <v>31</v>
      </c>
      <c r="B45" s="8">
        <f t="shared" si="4"/>
        <v>31</v>
      </c>
      <c r="C45" s="71" t="str">
        <f>VLOOKUP($A45,Engine!$D:$H,2,FALSE)</f>
        <v>q</v>
      </c>
      <c r="D45" s="72">
        <f>VLOOKUP($A45,Engine!$D:$H,3,FALSE)</f>
        <v>1</v>
      </c>
      <c r="E45" s="8" t="str">
        <f>VLOOKUP($A45,Engine!$D:$H,5,FALSE)</f>
        <v>Fouad Khochaiche</v>
      </c>
      <c r="F45" s="73"/>
      <c r="G45" s="9">
        <f>L45-VLOOKUP($A45,Engine!$D:$S,15,FALSE)</f>
        <v>1</v>
      </c>
      <c r="H45" s="9">
        <f>N45-VLOOKUP($A45,Engine!$D:$S,16,FALSE)</f>
        <v>34</v>
      </c>
      <c r="I45" s="10"/>
      <c r="J45" s="9" t="str">
        <f>IF(VLOOKUP(E45,Engine!H:Q,10,FALSE)=0,"",VLOOKUP(E45,Engine!H:Q,10,FALSE))</f>
        <v>Panthers</v>
      </c>
      <c r="K45" s="74" t="str">
        <f t="shared" si="3"/>
        <v/>
      </c>
      <c r="L45" s="8">
        <f>VLOOKUP($A45,Engine!$D:$Z,22,FALSE)</f>
        <v>93</v>
      </c>
      <c r="M45" s="73"/>
      <c r="N45" s="8">
        <f>VLOOKUP($A45,Engine!$D:$Z,23,FALSE)</f>
        <v>3596</v>
      </c>
      <c r="O45" s="78"/>
    </row>
    <row r="46" spans="1:15" s="63" customFormat="1" x14ac:dyDescent="0.3">
      <c r="A46" s="70">
        <f t="shared" si="5"/>
        <v>32</v>
      </c>
      <c r="B46" s="8">
        <f t="shared" si="4"/>
        <v>32</v>
      </c>
      <c r="C46" s="71" t="str">
        <f>VLOOKUP($A46,Engine!$D:$H,2,FALSE)</f>
        <v>p</v>
      </c>
      <c r="D46" s="72">
        <f>VLOOKUP($A46,Engine!$D:$H,3,FALSE)</f>
        <v>1</v>
      </c>
      <c r="E46" s="8" t="str">
        <f>VLOOKUP($A46,Engine!$D:$H,5,FALSE)</f>
        <v>Azza98</v>
      </c>
      <c r="F46" s="73"/>
      <c r="G46" s="9">
        <f>L46-VLOOKUP($A46,Engine!$D:$S,15,FALSE)</f>
        <v>3</v>
      </c>
      <c r="H46" s="9">
        <f>N46-VLOOKUP($A46,Engine!$D:$S,16,FALSE)</f>
        <v>34</v>
      </c>
      <c r="I46" s="10"/>
      <c r="J46" s="9" t="str">
        <f>IF(VLOOKUP(E46,Engine!H:Q,10,FALSE)=0,"",VLOOKUP(E46,Engine!H:Q,10,FALSE))</f>
        <v>Knights</v>
      </c>
      <c r="K46" s="74" t="str">
        <f t="shared" si="3"/>
        <v>ü</v>
      </c>
      <c r="L46" s="8">
        <f>VLOOKUP($A46,Engine!$D:$Z,22,FALSE)</f>
        <v>93</v>
      </c>
      <c r="M46" s="73"/>
      <c r="N46" s="8">
        <f>VLOOKUP($A46,Engine!$D:$Z,23,FALSE)</f>
        <v>3399</v>
      </c>
      <c r="O46" s="78"/>
    </row>
    <row r="47" spans="1:15" s="63" customFormat="1" x14ac:dyDescent="0.3">
      <c r="A47" s="70">
        <f t="shared" si="5"/>
        <v>33</v>
      </c>
      <c r="B47" s="8">
        <f t="shared" ref="B47:B81" si="6">A47</f>
        <v>33</v>
      </c>
      <c r="C47" s="71" t="str">
        <f>VLOOKUP($A47,Engine!$D:$H,2,FALSE)</f>
        <v>q</v>
      </c>
      <c r="D47" s="72">
        <f>VLOOKUP($A47,Engine!$D:$H,3,FALSE)</f>
        <v>1</v>
      </c>
      <c r="E47" s="8" t="str">
        <f>VLOOKUP($A47,Engine!$D:$H,5,FALSE)</f>
        <v>Turbo's Hamstrings</v>
      </c>
      <c r="F47" s="73"/>
      <c r="G47" s="9">
        <f>L47-VLOOKUP($A47,Engine!$D:$S,15,FALSE)</f>
        <v>1</v>
      </c>
      <c r="H47" s="9">
        <f>N47-VLOOKUP($A47,Engine!$D:$S,16,FALSE)</f>
        <v>34</v>
      </c>
      <c r="I47" s="10"/>
      <c r="J47" s="9" t="str">
        <f>IF(VLOOKUP(E47,Engine!H:Q,10,FALSE)=0,"",VLOOKUP(E47,Engine!H:Q,10,FALSE))</f>
        <v>Broncos</v>
      </c>
      <c r="K47" s="74" t="str">
        <f t="shared" ref="K47:K81" si="7">IF(COUNTIF(P$4:P$11,J47)=1,R$6,IF(COUNTIF(Q$4:Q$11,J47)=1,R$7,""))</f>
        <v/>
      </c>
      <c r="L47" s="8">
        <f>VLOOKUP($A47,Engine!$D:$Z,22,FALSE)</f>
        <v>91</v>
      </c>
      <c r="M47" s="73"/>
      <c r="N47" s="8">
        <f>VLOOKUP($A47,Engine!$D:$Z,23,FALSE)</f>
        <v>3546</v>
      </c>
      <c r="O47" s="76"/>
    </row>
    <row r="48" spans="1:15" s="63" customFormat="1" x14ac:dyDescent="0.3">
      <c r="A48" s="70">
        <f t="shared" si="5"/>
        <v>34</v>
      </c>
      <c r="B48" s="8">
        <f t="shared" si="6"/>
        <v>34</v>
      </c>
      <c r="C48" s="71" t="str">
        <f>VLOOKUP($A48,Engine!$D:$H,2,FALSE)</f>
        <v>u</v>
      </c>
      <c r="D48" s="72" t="str">
        <f>VLOOKUP($A48,Engine!$D:$H,3,FALSE)</f>
        <v/>
      </c>
      <c r="E48" s="8" t="str">
        <f>VLOOKUP($A48,Engine!$D:$H,5,FALSE)</f>
        <v>***Footy Tipper***</v>
      </c>
      <c r="F48" s="73"/>
      <c r="G48" s="9">
        <f>L48-VLOOKUP($A48,Engine!$D:$S,15,FALSE)</f>
        <v>1</v>
      </c>
      <c r="H48" s="9">
        <f>N48-VLOOKUP($A48,Engine!$D:$S,16,FALSE)</f>
        <v>34</v>
      </c>
      <c r="I48" s="10"/>
      <c r="J48" s="9" t="str">
        <f>IF(VLOOKUP(E48,Engine!H:Q,10,FALSE)=0,"",VLOOKUP(E48,Engine!H:Q,10,FALSE))</f>
        <v>Broncos</v>
      </c>
      <c r="K48" s="74" t="str">
        <f t="shared" si="7"/>
        <v/>
      </c>
      <c r="L48" s="8">
        <f>VLOOKUP($A48,Engine!$D:$Z,22,FALSE)</f>
        <v>91</v>
      </c>
      <c r="M48" s="73"/>
      <c r="N48" s="8">
        <f>VLOOKUP($A48,Engine!$D:$Z,23,FALSE)</f>
        <v>3373</v>
      </c>
      <c r="O48" s="76"/>
    </row>
    <row r="49" spans="1:14" s="63" customFormat="1" x14ac:dyDescent="0.3">
      <c r="A49" s="70">
        <f t="shared" si="5"/>
        <v>35</v>
      </c>
      <c r="B49" s="8">
        <f t="shared" si="6"/>
        <v>35</v>
      </c>
      <c r="C49" s="71" t="str">
        <f>VLOOKUP($A49,Engine!$D:$H,2,FALSE)</f>
        <v>u</v>
      </c>
      <c r="D49" s="72" t="str">
        <f>VLOOKUP($A49,Engine!$D:$H,3,FALSE)</f>
        <v/>
      </c>
      <c r="E49" s="8" t="str">
        <f>VLOOKUP($A49,Engine!$D:$H,5,FALSE)</f>
        <v>Big Moose</v>
      </c>
      <c r="F49" s="73"/>
      <c r="G49" s="9">
        <f>L49-VLOOKUP($A49,Engine!$D:$S,15,FALSE)</f>
        <v>1</v>
      </c>
      <c r="H49" s="9">
        <f>N49-VLOOKUP($A49,Engine!$D:$S,16,FALSE)</f>
        <v>34</v>
      </c>
      <c r="I49" s="10"/>
      <c r="J49" s="9" t="str">
        <f>IF(VLOOKUP(E49,Engine!H:Q,10,FALSE)=0,"",VLOOKUP(E49,Engine!H:Q,10,FALSE))</f>
        <v>Panthers</v>
      </c>
      <c r="K49" s="74" t="str">
        <f t="shared" si="7"/>
        <v/>
      </c>
      <c r="L49" s="8">
        <f>VLOOKUP($A49,Engine!$D:$Z,22,FALSE)</f>
        <v>90</v>
      </c>
      <c r="M49" s="73"/>
      <c r="N49" s="8">
        <f>VLOOKUP($A49,Engine!$D:$Z,23,FALSE)</f>
        <v>3550</v>
      </c>
    </row>
    <row r="50" spans="1:14" s="63" customFormat="1" x14ac:dyDescent="0.3">
      <c r="A50" s="70">
        <f t="shared" si="5"/>
        <v>36</v>
      </c>
      <c r="B50" s="8">
        <f t="shared" si="6"/>
        <v>36</v>
      </c>
      <c r="C50" s="71" t="str">
        <f>VLOOKUP($A50,Engine!$D:$H,2,FALSE)</f>
        <v>u</v>
      </c>
      <c r="D50" s="72" t="str">
        <f>VLOOKUP($A50,Engine!$D:$H,3,FALSE)</f>
        <v/>
      </c>
      <c r="E50" s="8" t="str">
        <f>VLOOKUP($A50,Engine!$D:$H,5,FALSE)</f>
        <v>MJP181</v>
      </c>
      <c r="F50" s="73"/>
      <c r="G50" s="9">
        <f>L50-VLOOKUP($A50,Engine!$D:$S,15,FALSE)</f>
        <v>1</v>
      </c>
      <c r="H50" s="9">
        <f>N50-VLOOKUP($A50,Engine!$D:$S,16,FALSE)</f>
        <v>34</v>
      </c>
      <c r="I50" s="10"/>
      <c r="J50" s="9" t="str">
        <f>IF(VLOOKUP(E50,Engine!H:Q,10,FALSE)=0,"",VLOOKUP(E50,Engine!H:Q,10,FALSE))</f>
        <v>Broncos</v>
      </c>
      <c r="K50" s="74" t="str">
        <f t="shared" si="7"/>
        <v/>
      </c>
      <c r="L50" s="8">
        <f>VLOOKUP($A50,Engine!$D:$Z,22,FALSE)</f>
        <v>90</v>
      </c>
      <c r="M50" s="73"/>
      <c r="N50" s="8">
        <f>VLOOKUP($A50,Engine!$D:$Z,23,FALSE)</f>
        <v>3527</v>
      </c>
    </row>
    <row r="51" spans="1:14" s="63" customFormat="1" x14ac:dyDescent="0.3">
      <c r="A51" s="70">
        <f t="shared" si="5"/>
        <v>37</v>
      </c>
      <c r="B51" s="8">
        <f t="shared" si="6"/>
        <v>37</v>
      </c>
      <c r="C51" s="71" t="str">
        <f>VLOOKUP($A51,Engine!$D:$H,2,FALSE)</f>
        <v>u</v>
      </c>
      <c r="D51" s="72" t="str">
        <f>VLOOKUP($A51,Engine!$D:$H,3,FALSE)</f>
        <v/>
      </c>
      <c r="E51" s="8" t="str">
        <f>VLOOKUP($A51,Engine!$D:$H,5,FALSE)</f>
        <v>Bart Simpson</v>
      </c>
      <c r="F51" s="73"/>
      <c r="G51" s="9">
        <f>L51-VLOOKUP($A51,Engine!$D:$S,15,FALSE)</f>
        <v>1</v>
      </c>
      <c r="H51" s="9">
        <f>N51-VLOOKUP($A51,Engine!$D:$S,16,FALSE)</f>
        <v>34</v>
      </c>
      <c r="I51" s="10"/>
      <c r="J51" s="9" t="str">
        <f>IF(VLOOKUP(E51,Engine!H:Q,10,FALSE)=0,"",VLOOKUP(E51,Engine!H:Q,10,FALSE))</f>
        <v>Broncos</v>
      </c>
      <c r="K51" s="74" t="str">
        <f t="shared" si="7"/>
        <v/>
      </c>
      <c r="L51" s="8">
        <f>VLOOKUP($A51,Engine!$D:$Z,22,FALSE)</f>
        <v>89</v>
      </c>
      <c r="M51" s="73"/>
      <c r="N51" s="8">
        <f>VLOOKUP($A51,Engine!$D:$Z,23,FALSE)</f>
        <v>3542</v>
      </c>
    </row>
    <row r="52" spans="1:14" s="63" customFormat="1" x14ac:dyDescent="0.3">
      <c r="A52" s="70">
        <f t="shared" si="5"/>
        <v>38</v>
      </c>
      <c r="B52" s="8">
        <f t="shared" si="6"/>
        <v>38</v>
      </c>
      <c r="C52" s="71" t="str">
        <f>VLOOKUP($A52,Engine!$D:$H,2,FALSE)</f>
        <v>u</v>
      </c>
      <c r="D52" s="72" t="str">
        <f>VLOOKUP($A52,Engine!$D:$H,3,FALSE)</f>
        <v/>
      </c>
      <c r="E52" s="8" t="str">
        <f>VLOOKUP($A52,Engine!$D:$H,5,FALSE)</f>
        <v>blakey94</v>
      </c>
      <c r="F52" s="73"/>
      <c r="G52" s="9">
        <f>L52-VLOOKUP($A52,Engine!$D:$S,15,FALSE)</f>
        <v>1</v>
      </c>
      <c r="H52" s="9">
        <f>N52-VLOOKUP($A52,Engine!$D:$S,16,FALSE)</f>
        <v>34</v>
      </c>
      <c r="I52" s="10"/>
      <c r="J52" s="9" t="str">
        <f>IF(VLOOKUP(E52,Engine!H:Q,10,FALSE)=0,"",VLOOKUP(E52,Engine!H:Q,10,FALSE))</f>
        <v>Broncos</v>
      </c>
      <c r="K52" s="74" t="str">
        <f t="shared" si="7"/>
        <v/>
      </c>
      <c r="L52" s="8">
        <f>VLOOKUP($A52,Engine!$D:$Z,22,FALSE)</f>
        <v>87</v>
      </c>
      <c r="M52" s="73"/>
      <c r="N52" s="8">
        <f>VLOOKUP($A52,Engine!$D:$Z,23,FALSE)</f>
        <v>3520</v>
      </c>
    </row>
    <row r="53" spans="1:14" s="63" customFormat="1" x14ac:dyDescent="0.3">
      <c r="A53" s="70">
        <f t="shared" si="5"/>
        <v>39</v>
      </c>
      <c r="B53" s="8">
        <f t="shared" si="6"/>
        <v>39</v>
      </c>
      <c r="C53" s="71" t="str">
        <f>VLOOKUP($A53,Engine!$D:$H,2,FALSE)</f>
        <v>u</v>
      </c>
      <c r="D53" s="72" t="str">
        <f>VLOOKUP($A53,Engine!$D:$H,3,FALSE)</f>
        <v/>
      </c>
      <c r="E53" s="8" t="str">
        <f>VLOOKUP($A53,Engine!$D:$H,5,FALSE)</f>
        <v>Robert Cook</v>
      </c>
      <c r="F53" s="73"/>
      <c r="G53" s="9">
        <f>L53-VLOOKUP($A53,Engine!$D:$S,15,FALSE)</f>
        <v>1</v>
      </c>
      <c r="H53" s="9">
        <f>N53-VLOOKUP($A53,Engine!$D:$S,16,FALSE)</f>
        <v>34</v>
      </c>
      <c r="I53" s="10"/>
      <c r="J53" s="9" t="str">
        <f>IF(VLOOKUP(E53,Engine!H:Q,10,FALSE)=0,"",VLOOKUP(E53,Engine!H:Q,10,FALSE))</f>
        <v>Broncos</v>
      </c>
      <c r="K53" s="74" t="str">
        <f t="shared" si="7"/>
        <v/>
      </c>
      <c r="L53" s="8">
        <f>VLOOKUP($A53,Engine!$D:$Z,22,FALSE)</f>
        <v>87</v>
      </c>
      <c r="M53" s="73"/>
      <c r="N53" s="8">
        <f>VLOOKUP($A53,Engine!$D:$Z,23,FALSE)</f>
        <v>3353</v>
      </c>
    </row>
    <row r="54" spans="1:14" x14ac:dyDescent="0.3">
      <c r="A54" s="70">
        <f t="shared" si="5"/>
        <v>40</v>
      </c>
      <c r="B54" s="8">
        <f t="shared" si="6"/>
        <v>40</v>
      </c>
      <c r="C54" s="71" t="str">
        <f>VLOOKUP($A54,Engine!$D:$H,2,FALSE)</f>
        <v>u</v>
      </c>
      <c r="D54" s="72" t="str">
        <f>VLOOKUP($A54,Engine!$D:$H,3,FALSE)</f>
        <v/>
      </c>
      <c r="E54" s="8" t="str">
        <f>VLOOKUP($A54,Engine!$D:$H,5,FALSE)</f>
        <v>Wiley C</v>
      </c>
      <c r="F54" s="73"/>
      <c r="G54" s="9">
        <f>L54-VLOOKUP($A54,Engine!$D:$S,15,FALSE)</f>
        <v>1</v>
      </c>
      <c r="H54" s="9">
        <f>N54-VLOOKUP($A54,Engine!$D:$S,16,FALSE)</f>
        <v>34</v>
      </c>
      <c r="I54" s="10"/>
      <c r="J54" s="9" t="str">
        <f>IF(VLOOKUP(E54,Engine!H:Q,10,FALSE)=0,"",VLOOKUP(E54,Engine!H:Q,10,FALSE))</f>
        <v>Storm</v>
      </c>
      <c r="K54" s="74" t="str">
        <f t="shared" si="7"/>
        <v/>
      </c>
      <c r="L54" s="8">
        <f>VLOOKUP($A54,Engine!$D:$Z,22,FALSE)</f>
        <v>86</v>
      </c>
      <c r="M54" s="73"/>
      <c r="N54" s="8">
        <f>VLOOKUP($A54,Engine!$D:$Z,23,FALSE)</f>
        <v>3542</v>
      </c>
    </row>
    <row r="55" spans="1:14" x14ac:dyDescent="0.3">
      <c r="A55" s="70">
        <f t="shared" si="5"/>
        <v>41</v>
      </c>
      <c r="B55" s="8">
        <f t="shared" si="6"/>
        <v>41</v>
      </c>
      <c r="C55" s="71" t="str">
        <f>VLOOKUP($A55,Engine!$D:$H,2,FALSE)</f>
        <v>u</v>
      </c>
      <c r="D55" s="72" t="str">
        <f>VLOOKUP($A55,Engine!$D:$H,3,FALSE)</f>
        <v/>
      </c>
      <c r="E55" s="8" t="str">
        <f>VLOOKUP($A55,Engine!$D:$H,5,FALSE)</f>
        <v>Shagger</v>
      </c>
      <c r="F55" s="73"/>
      <c r="G55" s="9">
        <f>L55-VLOOKUP($A55,Engine!$D:$S,15,FALSE)</f>
        <v>1</v>
      </c>
      <c r="H55" s="9">
        <f>N55-VLOOKUP($A55,Engine!$D:$S,16,FALSE)</f>
        <v>34</v>
      </c>
      <c r="I55" s="10"/>
      <c r="J55" s="9" t="str">
        <f>IF(VLOOKUP(E55,Engine!H:Q,10,FALSE)=0,"",VLOOKUP(E55,Engine!H:Q,10,FALSE))</f>
        <v>Cowboys</v>
      </c>
      <c r="K55" s="74" t="str">
        <f t="shared" si="7"/>
        <v/>
      </c>
      <c r="L55" s="8">
        <f>VLOOKUP($A55,Engine!$D:$Z,22,FALSE)</f>
        <v>86</v>
      </c>
      <c r="M55" s="73"/>
      <c r="N55" s="8">
        <f>VLOOKUP($A55,Engine!$D:$Z,23,FALSE)</f>
        <v>3349</v>
      </c>
    </row>
    <row r="56" spans="1:14" x14ac:dyDescent="0.3">
      <c r="A56" s="70">
        <f t="shared" si="5"/>
        <v>42</v>
      </c>
      <c r="B56" s="8">
        <f t="shared" si="6"/>
        <v>42</v>
      </c>
      <c r="C56" s="71" t="str">
        <f>VLOOKUP($A56,Engine!$D:$H,2,FALSE)</f>
        <v>u</v>
      </c>
      <c r="D56" s="72" t="str">
        <f>VLOOKUP($A56,Engine!$D:$H,3,FALSE)</f>
        <v/>
      </c>
      <c r="E56" s="8" t="str">
        <f>VLOOKUP($A56,Engine!$D:$H,5,FALSE)</f>
        <v>Danhux</v>
      </c>
      <c r="F56" s="73"/>
      <c r="G56" s="9">
        <f>L56-VLOOKUP($A56,Engine!$D:$S,15,FALSE)</f>
        <v>1</v>
      </c>
      <c r="H56" s="9">
        <f>N56-VLOOKUP($A56,Engine!$D:$S,16,FALSE)</f>
        <v>34</v>
      </c>
      <c r="I56" s="10"/>
      <c r="J56" s="9" t="str">
        <f>IF(VLOOKUP(E56,Engine!H:Q,10,FALSE)=0,"",VLOOKUP(E56,Engine!H:Q,10,FALSE))</f>
        <v>Panthers</v>
      </c>
      <c r="K56" s="74" t="str">
        <f t="shared" si="7"/>
        <v/>
      </c>
      <c r="L56" s="8">
        <f>VLOOKUP($A56,Engine!$D:$Z,22,FALSE)</f>
        <v>85</v>
      </c>
      <c r="M56" s="73"/>
      <c r="N56" s="8">
        <f>VLOOKUP($A56,Engine!$D:$Z,23,FALSE)</f>
        <v>3388</v>
      </c>
    </row>
    <row r="57" spans="1:14" x14ac:dyDescent="0.3">
      <c r="A57" s="70">
        <f t="shared" si="5"/>
        <v>43</v>
      </c>
      <c r="B57" s="8">
        <f t="shared" si="6"/>
        <v>43</v>
      </c>
      <c r="C57" s="71" t="str">
        <f>VLOOKUP($A57,Engine!$D:$H,2,FALSE)</f>
        <v>p</v>
      </c>
      <c r="D57" s="72">
        <f>VLOOKUP($A57,Engine!$D:$H,3,FALSE)</f>
        <v>1</v>
      </c>
      <c r="E57" s="8" t="str">
        <f>VLOOKUP($A57,Engine!$D:$H,5,FALSE)</f>
        <v>Panthers29</v>
      </c>
      <c r="F57" s="73"/>
      <c r="G57" s="9">
        <f>L57-VLOOKUP($A57,Engine!$D:$S,15,FALSE)</f>
        <v>1</v>
      </c>
      <c r="H57" s="9">
        <f>N57-VLOOKUP($A57,Engine!$D:$S,16,FALSE)</f>
        <v>34</v>
      </c>
      <c r="I57" s="10"/>
      <c r="J57" s="9" t="str">
        <f>IF(VLOOKUP(E57,Engine!H:Q,10,FALSE)=0,"",VLOOKUP(E57,Engine!H:Q,10,FALSE))</f>
        <v>Panthers</v>
      </c>
      <c r="K57" s="74" t="str">
        <f t="shared" si="7"/>
        <v/>
      </c>
      <c r="L57" s="8">
        <f>VLOOKUP($A57,Engine!$D:$Z,22,FALSE)</f>
        <v>84</v>
      </c>
      <c r="M57" s="73"/>
      <c r="N57" s="8">
        <f>VLOOKUP($A57,Engine!$D:$Z,23,FALSE)</f>
        <v>3551</v>
      </c>
    </row>
    <row r="58" spans="1:14" x14ac:dyDescent="0.3">
      <c r="A58" s="70">
        <f t="shared" si="5"/>
        <v>44</v>
      </c>
      <c r="B58" s="8">
        <f t="shared" si="6"/>
        <v>44</v>
      </c>
      <c r="C58" s="71" t="str">
        <f>VLOOKUP($A58,Engine!$D:$H,2,FALSE)</f>
        <v>p</v>
      </c>
      <c r="D58" s="72">
        <f>VLOOKUP($A58,Engine!$D:$H,3,FALSE)</f>
        <v>1</v>
      </c>
      <c r="E58" s="8" t="str">
        <f>VLOOKUP($A58,Engine!$D:$H,5,FALSE)</f>
        <v>Caline</v>
      </c>
      <c r="F58" s="73"/>
      <c r="G58" s="9">
        <f>L58-VLOOKUP($A58,Engine!$D:$S,15,FALSE)</f>
        <v>1</v>
      </c>
      <c r="H58" s="9">
        <f>N58-VLOOKUP($A58,Engine!$D:$S,16,FALSE)</f>
        <v>34</v>
      </c>
      <c r="I58" s="10"/>
      <c r="J58" s="9" t="str">
        <f>IF(VLOOKUP(E58,Engine!H:Q,10,FALSE)=0,"",VLOOKUP(E58,Engine!H:Q,10,FALSE))</f>
        <v>Panthers</v>
      </c>
      <c r="K58" s="74" t="str">
        <f t="shared" si="7"/>
        <v/>
      </c>
      <c r="L58" s="8">
        <f>VLOOKUP($A58,Engine!$D:$Z,22,FALSE)</f>
        <v>84</v>
      </c>
      <c r="M58" s="73"/>
      <c r="N58" s="8">
        <f>VLOOKUP($A58,Engine!$D:$Z,23,FALSE)</f>
        <v>3444</v>
      </c>
    </row>
    <row r="59" spans="1:14" x14ac:dyDescent="0.3">
      <c r="A59" s="70">
        <f t="shared" si="5"/>
        <v>45</v>
      </c>
      <c r="B59" s="8">
        <f t="shared" si="6"/>
        <v>45</v>
      </c>
      <c r="C59" s="71" t="str">
        <f>VLOOKUP($A59,Engine!$D:$H,2,FALSE)</f>
        <v>q</v>
      </c>
      <c r="D59" s="72">
        <f>VLOOKUP($A59,Engine!$D:$H,3,FALSE)</f>
        <v>2</v>
      </c>
      <c r="E59" s="8" t="str">
        <f>VLOOKUP($A59,Engine!$D:$H,5,FALSE)</f>
        <v>Lukebrooksbiggestfan</v>
      </c>
      <c r="F59" s="73"/>
      <c r="G59" s="9">
        <f>L59-VLOOKUP($A59,Engine!$D:$S,15,FALSE)</f>
        <v>0</v>
      </c>
      <c r="H59" s="9">
        <f>N59-VLOOKUP($A59,Engine!$D:$S,16,FALSE)</f>
        <v>18</v>
      </c>
      <c r="I59" s="10"/>
      <c r="J59" s="9" t="str">
        <f>IF(VLOOKUP(E59,Engine!H:Q,10,FALSE)=0,"",VLOOKUP(E59,Engine!H:Q,10,FALSE))</f>
        <v>Panthers</v>
      </c>
      <c r="K59" s="74" t="str">
        <f t="shared" si="7"/>
        <v/>
      </c>
      <c r="L59" s="8">
        <f>VLOOKUP($A59,Engine!$D:$Z,22,FALSE)</f>
        <v>84</v>
      </c>
      <c r="M59" s="73"/>
      <c r="N59" s="8">
        <f>VLOOKUP($A59,Engine!$D:$Z,23,FALSE)</f>
        <v>3302</v>
      </c>
    </row>
    <row r="60" spans="1:14" x14ac:dyDescent="0.3">
      <c r="A60" s="70">
        <f t="shared" si="5"/>
        <v>46</v>
      </c>
      <c r="B60" s="8">
        <f t="shared" si="6"/>
        <v>46</v>
      </c>
      <c r="C60" s="71" t="str">
        <f>VLOOKUP($A60,Engine!$D:$H,2,FALSE)</f>
        <v>p</v>
      </c>
      <c r="D60" s="72">
        <f>VLOOKUP($A60,Engine!$D:$H,3,FALSE)</f>
        <v>1</v>
      </c>
      <c r="E60" s="8" t="str">
        <f>VLOOKUP($A60,Engine!$D:$H,5,FALSE)</f>
        <v>Lou</v>
      </c>
      <c r="F60" s="73"/>
      <c r="G60" s="9">
        <f>L60-VLOOKUP($A60,Engine!$D:$S,15,FALSE)</f>
        <v>1</v>
      </c>
      <c r="H60" s="9">
        <f>N60-VLOOKUP($A60,Engine!$D:$S,16,FALSE)</f>
        <v>34</v>
      </c>
      <c r="I60" s="10"/>
      <c r="J60" s="9" t="str">
        <f>IF(VLOOKUP(E60,Engine!H:Q,10,FALSE)=0,"",VLOOKUP(E60,Engine!H:Q,10,FALSE))</f>
        <v>Broncos</v>
      </c>
      <c r="K60" s="74" t="str">
        <f t="shared" si="7"/>
        <v/>
      </c>
      <c r="L60" s="8">
        <f>VLOOKUP($A60,Engine!$D:$Z,22,FALSE)</f>
        <v>83</v>
      </c>
      <c r="M60" s="73"/>
      <c r="N60" s="8">
        <f>VLOOKUP($A60,Engine!$D:$Z,23,FALSE)</f>
        <v>3393</v>
      </c>
    </row>
    <row r="61" spans="1:14" x14ac:dyDescent="0.3">
      <c r="A61" s="70">
        <f t="shared" si="5"/>
        <v>47</v>
      </c>
      <c r="B61" s="8">
        <f t="shared" si="6"/>
        <v>47</v>
      </c>
      <c r="C61" s="71" t="str">
        <f>VLOOKUP($A61,Engine!$D:$H,2,FALSE)</f>
        <v>p</v>
      </c>
      <c r="D61" s="72">
        <f>VLOOKUP($A61,Engine!$D:$H,3,FALSE)</f>
        <v>1</v>
      </c>
      <c r="E61" s="8" t="str">
        <f>VLOOKUP($A61,Engine!$D:$H,5,FALSE)</f>
        <v>Pablo</v>
      </c>
      <c r="F61" s="73"/>
      <c r="G61" s="9">
        <f>L61-VLOOKUP($A61,Engine!$D:$S,15,FALSE)</f>
        <v>1</v>
      </c>
      <c r="H61" s="9">
        <f>N61-VLOOKUP($A61,Engine!$D:$S,16,FALSE)</f>
        <v>34</v>
      </c>
      <c r="I61" s="10"/>
      <c r="J61" s="9" t="str">
        <f>IF(VLOOKUP(E61,Engine!H:Q,10,FALSE)=0,"",VLOOKUP(E61,Engine!H:Q,10,FALSE))</f>
        <v>Broncos</v>
      </c>
      <c r="K61" s="74" t="str">
        <f t="shared" si="7"/>
        <v/>
      </c>
      <c r="L61" s="8">
        <f>VLOOKUP($A61,Engine!$D:$Z,22,FALSE)</f>
        <v>82</v>
      </c>
      <c r="M61" s="73"/>
      <c r="N61" s="8">
        <f>VLOOKUP($A61,Engine!$D:$Z,23,FALSE)</f>
        <v>3426</v>
      </c>
    </row>
    <row r="62" spans="1:14" x14ac:dyDescent="0.3">
      <c r="A62" s="70">
        <f t="shared" si="5"/>
        <v>48</v>
      </c>
      <c r="B62" s="8">
        <f t="shared" si="6"/>
        <v>48</v>
      </c>
      <c r="C62" s="71" t="str">
        <f>VLOOKUP($A62,Engine!$D:$H,2,FALSE)</f>
        <v>p</v>
      </c>
      <c r="D62" s="72">
        <f>VLOOKUP($A62,Engine!$D:$H,3,FALSE)</f>
        <v>1</v>
      </c>
      <c r="E62" s="8" t="str">
        <f>VLOOKUP($A62,Engine!$D:$H,5,FALSE)</f>
        <v>Yackas</v>
      </c>
      <c r="F62" s="73"/>
      <c r="G62" s="9">
        <f>L62-VLOOKUP($A62,Engine!$D:$S,15,FALSE)</f>
        <v>1</v>
      </c>
      <c r="H62" s="9">
        <f>N62-VLOOKUP($A62,Engine!$D:$S,16,FALSE)</f>
        <v>34</v>
      </c>
      <c r="I62" s="10"/>
      <c r="J62" s="9" t="str">
        <f>IF(VLOOKUP(E62,Engine!H:Q,10,FALSE)=0,"",VLOOKUP(E62,Engine!H:Q,10,FALSE))</f>
        <v>Panthers</v>
      </c>
      <c r="K62" s="74" t="str">
        <f t="shared" si="7"/>
        <v/>
      </c>
      <c r="L62" s="8">
        <f>VLOOKUP($A62,Engine!$D:$Z,22,FALSE)</f>
        <v>82</v>
      </c>
      <c r="M62" s="73"/>
      <c r="N62" s="8">
        <f>VLOOKUP($A62,Engine!$D:$Z,23,FALSE)</f>
        <v>3323</v>
      </c>
    </row>
    <row r="63" spans="1:14" x14ac:dyDescent="0.3">
      <c r="A63" s="70">
        <f t="shared" si="5"/>
        <v>49</v>
      </c>
      <c r="B63" s="8">
        <f t="shared" si="6"/>
        <v>49</v>
      </c>
      <c r="C63" s="71" t="str">
        <f>VLOOKUP($A63,Engine!$D:$H,2,FALSE)</f>
        <v>p</v>
      </c>
      <c r="D63" s="72">
        <f>VLOOKUP($A63,Engine!$D:$H,3,FALSE)</f>
        <v>1</v>
      </c>
      <c r="E63" s="8" t="str">
        <f>VLOOKUP($A63,Engine!$D:$H,5,FALSE)</f>
        <v>Craig Young's Love Child</v>
      </c>
      <c r="F63" s="73"/>
      <c r="G63" s="9">
        <f>L63-VLOOKUP($A63,Engine!$D:$S,15,FALSE)</f>
        <v>1</v>
      </c>
      <c r="H63" s="9">
        <f>N63-VLOOKUP($A63,Engine!$D:$S,16,FALSE)</f>
        <v>34</v>
      </c>
      <c r="I63" s="10"/>
      <c r="J63" s="9" t="str">
        <f>IF(VLOOKUP(E63,Engine!H:Q,10,FALSE)=0,"",VLOOKUP(E63,Engine!H:Q,10,FALSE))</f>
        <v>Panthers</v>
      </c>
      <c r="K63" s="74" t="str">
        <f t="shared" si="7"/>
        <v/>
      </c>
      <c r="L63" s="8">
        <f>VLOOKUP($A63,Engine!$D:$Z,22,FALSE)</f>
        <v>82</v>
      </c>
      <c r="M63" s="73"/>
      <c r="N63" s="8">
        <f>VLOOKUP($A63,Engine!$D:$Z,23,FALSE)</f>
        <v>3272</v>
      </c>
    </row>
    <row r="64" spans="1:14" x14ac:dyDescent="0.3">
      <c r="A64" s="70">
        <f t="shared" si="5"/>
        <v>50</v>
      </c>
      <c r="B64" s="8">
        <f t="shared" si="6"/>
        <v>50</v>
      </c>
      <c r="C64" s="71" t="str">
        <f>VLOOKUP($A64,Engine!$D:$H,2,FALSE)</f>
        <v>p</v>
      </c>
      <c r="D64" s="72">
        <f>VLOOKUP($A64,Engine!$D:$H,3,FALSE)</f>
        <v>1</v>
      </c>
      <c r="E64" s="8" t="str">
        <f>VLOOKUP($A64,Engine!$D:$H,5,FALSE)</f>
        <v>Krusty</v>
      </c>
      <c r="F64" s="73"/>
      <c r="G64" s="9">
        <f>L64-VLOOKUP($A64,Engine!$D:$S,15,FALSE)</f>
        <v>1</v>
      </c>
      <c r="H64" s="9">
        <f>N64-VLOOKUP($A64,Engine!$D:$S,16,FALSE)</f>
        <v>34</v>
      </c>
      <c r="I64" s="10"/>
      <c r="J64" s="9" t="str">
        <f>IF(VLOOKUP(E64,Engine!H:Q,10,FALSE)=0,"",VLOOKUP(E64,Engine!H:Q,10,FALSE))</f>
        <v>Broncos</v>
      </c>
      <c r="K64" s="74" t="str">
        <f t="shared" si="7"/>
        <v/>
      </c>
      <c r="L64" s="8">
        <f>VLOOKUP($A64,Engine!$D:$Z,22,FALSE)</f>
        <v>82</v>
      </c>
      <c r="M64" s="73"/>
      <c r="N64" s="8">
        <f>VLOOKUP($A64,Engine!$D:$Z,23,FALSE)</f>
        <v>3237</v>
      </c>
    </row>
    <row r="65" spans="1:14" x14ac:dyDescent="0.3">
      <c r="A65" s="70">
        <f t="shared" si="5"/>
        <v>51</v>
      </c>
      <c r="B65" s="8">
        <f t="shared" si="6"/>
        <v>51</v>
      </c>
      <c r="C65" s="71" t="str">
        <f>VLOOKUP($A65,Engine!$D:$H,2,FALSE)</f>
        <v>p</v>
      </c>
      <c r="D65" s="72">
        <f>VLOOKUP($A65,Engine!$D:$H,3,FALSE)</f>
        <v>1</v>
      </c>
      <c r="E65" s="8" t="str">
        <f>VLOOKUP($A65,Engine!$D:$H,5,FALSE)</f>
        <v>HeyRobuphere</v>
      </c>
      <c r="F65" s="73"/>
      <c r="G65" s="9">
        <f>L65-VLOOKUP($A65,Engine!$D:$S,15,FALSE)</f>
        <v>1</v>
      </c>
      <c r="H65" s="9">
        <f>N65-VLOOKUP($A65,Engine!$D:$S,16,FALSE)</f>
        <v>34</v>
      </c>
      <c r="I65" s="10"/>
      <c r="J65" s="9" t="str">
        <f>IF(VLOOKUP(E65,Engine!H:Q,10,FALSE)=0,"",VLOOKUP(E65,Engine!H:Q,10,FALSE))</f>
        <v>Panthers</v>
      </c>
      <c r="K65" s="74" t="str">
        <f t="shared" si="7"/>
        <v/>
      </c>
      <c r="L65" s="8">
        <f>VLOOKUP($A65,Engine!$D:$Z,22,FALSE)</f>
        <v>81</v>
      </c>
      <c r="M65" s="73"/>
      <c r="N65" s="8">
        <f>VLOOKUP($A65,Engine!$D:$Z,23,FALSE)</f>
        <v>3372</v>
      </c>
    </row>
    <row r="66" spans="1:14" x14ac:dyDescent="0.3">
      <c r="A66" s="70">
        <f t="shared" si="5"/>
        <v>52</v>
      </c>
      <c r="B66" s="8">
        <f t="shared" si="6"/>
        <v>52</v>
      </c>
      <c r="C66" s="71" t="str">
        <f>VLOOKUP($A66,Engine!$D:$H,2,FALSE)</f>
        <v>q</v>
      </c>
      <c r="D66" s="72">
        <f>VLOOKUP($A66,Engine!$D:$H,3,FALSE)</f>
        <v>6</v>
      </c>
      <c r="E66" s="8" t="str">
        <f>VLOOKUP($A66,Engine!$D:$H,5,FALSE)</f>
        <v>NotLast</v>
      </c>
      <c r="F66" s="73"/>
      <c r="G66" s="9">
        <f>L66-VLOOKUP($A66,Engine!$D:$S,15,FALSE)</f>
        <v>-2</v>
      </c>
      <c r="H66" s="9">
        <f>N66-VLOOKUP($A66,Engine!$D:$S,16,FALSE)</f>
        <v>18</v>
      </c>
      <c r="I66" s="10"/>
      <c r="J66" s="9" t="str">
        <f>IF(VLOOKUP(E66,Engine!H:Q,10,FALSE)=0,"",VLOOKUP(E66,Engine!H:Q,10,FALSE))</f>
        <v>No Tips</v>
      </c>
      <c r="K66" s="74" t="str">
        <f t="shared" si="7"/>
        <v/>
      </c>
      <c r="L66" s="8">
        <f>VLOOKUP($A66,Engine!$D:$Z,22,FALSE)</f>
        <v>81</v>
      </c>
      <c r="M66" s="73"/>
      <c r="N66" s="8">
        <f>VLOOKUP($A66,Engine!$D:$Z,23,FALSE)</f>
        <v>3361</v>
      </c>
    </row>
    <row r="67" spans="1:14" x14ac:dyDescent="0.3">
      <c r="A67" s="70">
        <f t="shared" si="5"/>
        <v>53</v>
      </c>
      <c r="B67" s="8">
        <f t="shared" si="6"/>
        <v>53</v>
      </c>
      <c r="C67" s="71" t="str">
        <f>VLOOKUP($A67,Engine!$D:$H,2,FALSE)</f>
        <v>u</v>
      </c>
      <c r="D67" s="72" t="str">
        <f>VLOOKUP($A67,Engine!$D:$H,3,FALSE)</f>
        <v/>
      </c>
      <c r="E67" s="8" t="str">
        <f>VLOOKUP($A67,Engine!$D:$H,5,FALSE)</f>
        <v>Stallion</v>
      </c>
      <c r="F67" s="73"/>
      <c r="G67" s="9">
        <f>L67-VLOOKUP($A67,Engine!$D:$S,15,FALSE)</f>
        <v>1</v>
      </c>
      <c r="H67" s="9">
        <f>N67-VLOOKUP($A67,Engine!$D:$S,16,FALSE)</f>
        <v>34</v>
      </c>
      <c r="I67" s="10"/>
      <c r="J67" s="9" t="str">
        <f>IF(VLOOKUP(E67,Engine!H:Q,10,FALSE)=0,"",VLOOKUP(E67,Engine!H:Q,10,FALSE))</f>
        <v>Broncos</v>
      </c>
      <c r="K67" s="74" t="str">
        <f t="shared" si="7"/>
        <v/>
      </c>
      <c r="L67" s="8">
        <f>VLOOKUP($A67,Engine!$D:$Z,22,FALSE)</f>
        <v>79</v>
      </c>
      <c r="M67" s="73"/>
      <c r="N67" s="8">
        <f>VLOOKUP($A67,Engine!$D:$Z,23,FALSE)</f>
        <v>3559</v>
      </c>
    </row>
    <row r="68" spans="1:14" x14ac:dyDescent="0.3">
      <c r="A68" s="70">
        <f t="shared" si="5"/>
        <v>54</v>
      </c>
      <c r="B68" s="8">
        <f t="shared" si="6"/>
        <v>54</v>
      </c>
      <c r="C68" s="71" t="str">
        <f>VLOOKUP($A68,Engine!$D:$H,2,FALSE)</f>
        <v>u</v>
      </c>
      <c r="D68" s="72" t="str">
        <f>VLOOKUP($A68,Engine!$D:$H,3,FALSE)</f>
        <v/>
      </c>
      <c r="E68" s="8" t="str">
        <f>VLOOKUP($A68,Engine!$D:$H,5,FALSE)</f>
        <v>iTerry</v>
      </c>
      <c r="F68" s="73"/>
      <c r="G68" s="9">
        <f>L68-VLOOKUP($A68,Engine!$D:$S,15,FALSE)</f>
        <v>1</v>
      </c>
      <c r="H68" s="9">
        <f>N68-VLOOKUP($A68,Engine!$D:$S,16,FALSE)</f>
        <v>34</v>
      </c>
      <c r="I68" s="10"/>
      <c r="J68" s="9" t="str">
        <f>IF(VLOOKUP(E68,Engine!H:Q,10,FALSE)=0,"",VLOOKUP(E68,Engine!H:Q,10,FALSE))</f>
        <v>Broncos</v>
      </c>
      <c r="K68" s="74" t="str">
        <f t="shared" si="7"/>
        <v/>
      </c>
      <c r="L68" s="8">
        <f>VLOOKUP($A68,Engine!$D:$Z,22,FALSE)</f>
        <v>78</v>
      </c>
      <c r="M68" s="73"/>
      <c r="N68" s="8">
        <f>VLOOKUP($A68,Engine!$D:$Z,23,FALSE)</f>
        <v>3419</v>
      </c>
    </row>
    <row r="69" spans="1:14" x14ac:dyDescent="0.3">
      <c r="A69" s="70">
        <f t="shared" si="5"/>
        <v>55</v>
      </c>
      <c r="B69" s="8">
        <f t="shared" si="6"/>
        <v>55</v>
      </c>
      <c r="C69" s="71" t="str">
        <f>VLOOKUP($A69,Engine!$D:$H,2,FALSE)</f>
        <v>u</v>
      </c>
      <c r="D69" s="72" t="str">
        <f>VLOOKUP($A69,Engine!$D:$H,3,FALSE)</f>
        <v/>
      </c>
      <c r="E69" s="8" t="str">
        <f>VLOOKUP($A69,Engine!$D:$H,5,FALSE)</f>
        <v>Cruella</v>
      </c>
      <c r="F69" s="73"/>
      <c r="G69" s="9">
        <f>L69-VLOOKUP($A69,Engine!$D:$S,15,FALSE)</f>
        <v>1</v>
      </c>
      <c r="H69" s="9">
        <f>N69-VLOOKUP($A69,Engine!$D:$S,16,FALSE)</f>
        <v>34</v>
      </c>
      <c r="I69" s="10"/>
      <c r="J69" s="9" t="str">
        <f>IF(VLOOKUP(E69,Engine!H:Q,10,FALSE)=0,"",VLOOKUP(E69,Engine!H:Q,10,FALSE))</f>
        <v>Panthers</v>
      </c>
      <c r="K69" s="74" t="str">
        <f t="shared" si="7"/>
        <v/>
      </c>
      <c r="L69" s="8">
        <f>VLOOKUP($A69,Engine!$D:$Z,22,FALSE)</f>
        <v>78</v>
      </c>
      <c r="M69" s="73"/>
      <c r="N69" s="8">
        <f>VLOOKUP($A69,Engine!$D:$Z,23,FALSE)</f>
        <v>3324</v>
      </c>
    </row>
    <row r="70" spans="1:14" x14ac:dyDescent="0.3">
      <c r="A70" s="70">
        <f t="shared" si="5"/>
        <v>56</v>
      </c>
      <c r="B70" s="8">
        <f t="shared" si="6"/>
        <v>56</v>
      </c>
      <c r="C70" s="71" t="str">
        <f>VLOOKUP($A70,Engine!$D:$H,2,FALSE)</f>
        <v>p</v>
      </c>
      <c r="D70" s="72">
        <f>VLOOKUP($A70,Engine!$D:$H,3,FALSE)</f>
        <v>2</v>
      </c>
      <c r="E70" s="8" t="str">
        <f>VLOOKUP($A70,Engine!$D:$H,5,FALSE)</f>
        <v>Bridie</v>
      </c>
      <c r="F70" s="73"/>
      <c r="G70" s="9">
        <f>L70-VLOOKUP($A70,Engine!$D:$S,15,FALSE)</f>
        <v>1</v>
      </c>
      <c r="H70" s="9">
        <f>N70-VLOOKUP($A70,Engine!$D:$S,16,FALSE)</f>
        <v>34</v>
      </c>
      <c r="I70" s="10"/>
      <c r="J70" s="9" t="str">
        <f>IF(VLOOKUP(E70,Engine!H:Q,10,FALSE)=0,"",VLOOKUP(E70,Engine!H:Q,10,FALSE))</f>
        <v>Broncos</v>
      </c>
      <c r="K70" s="74" t="str">
        <f t="shared" si="7"/>
        <v/>
      </c>
      <c r="L70" s="8">
        <f>VLOOKUP($A70,Engine!$D:$Z,22,FALSE)</f>
        <v>75</v>
      </c>
      <c r="M70" s="73"/>
      <c r="N70" s="8">
        <f>VLOOKUP($A70,Engine!$D:$Z,23,FALSE)</f>
        <v>3384</v>
      </c>
    </row>
    <row r="71" spans="1:14" x14ac:dyDescent="0.3">
      <c r="A71" s="70">
        <f t="shared" si="5"/>
        <v>57</v>
      </c>
      <c r="B71" s="8">
        <f t="shared" si="6"/>
        <v>57</v>
      </c>
      <c r="C71" s="71" t="str">
        <f>VLOOKUP($A71,Engine!$D:$H,2,FALSE)</f>
        <v>q</v>
      </c>
      <c r="D71" s="72">
        <f>VLOOKUP($A71,Engine!$D:$H,3,FALSE)</f>
        <v>1</v>
      </c>
      <c r="E71" s="8" t="str">
        <f>VLOOKUP($A71,Engine!$D:$H,5,FALSE)</f>
        <v>Adel Messih</v>
      </c>
      <c r="F71" s="73"/>
      <c r="G71" s="9">
        <f>L71-VLOOKUP($A71,Engine!$D:$S,15,FALSE)</f>
        <v>0</v>
      </c>
      <c r="H71" s="9">
        <f>N71-VLOOKUP($A71,Engine!$D:$S,16,FALSE)</f>
        <v>18</v>
      </c>
      <c r="I71" s="10"/>
      <c r="J71" s="9" t="str">
        <f>IF(VLOOKUP(E71,Engine!H:Q,10,FALSE)=0,"",VLOOKUP(E71,Engine!H:Q,10,FALSE))</f>
        <v>Storm</v>
      </c>
      <c r="K71" s="74" t="str">
        <f t="shared" si="7"/>
        <v/>
      </c>
      <c r="L71" s="8">
        <f>VLOOKUP($A71,Engine!$D:$Z,22,FALSE)</f>
        <v>75</v>
      </c>
      <c r="M71" s="73"/>
      <c r="N71" s="8">
        <f>VLOOKUP($A71,Engine!$D:$Z,23,FALSE)</f>
        <v>3308</v>
      </c>
    </row>
    <row r="72" spans="1:14" x14ac:dyDescent="0.3">
      <c r="A72" s="70">
        <f t="shared" si="5"/>
        <v>58</v>
      </c>
      <c r="B72" s="8">
        <f t="shared" si="6"/>
        <v>58</v>
      </c>
      <c r="C72" s="71" t="str">
        <f>VLOOKUP($A72,Engine!$D:$H,2,FALSE)</f>
        <v>p</v>
      </c>
      <c r="D72" s="72">
        <f>VLOOKUP($A72,Engine!$D:$H,3,FALSE)</f>
        <v>1</v>
      </c>
      <c r="E72" s="8" t="str">
        <f>VLOOKUP($A72,Engine!$D:$H,5,FALSE)</f>
        <v>Timbo</v>
      </c>
      <c r="F72" s="73"/>
      <c r="G72" s="9">
        <f>L72-VLOOKUP($A72,Engine!$D:$S,15,FALSE)</f>
        <v>1</v>
      </c>
      <c r="H72" s="9">
        <f>N72-VLOOKUP($A72,Engine!$D:$S,16,FALSE)</f>
        <v>34</v>
      </c>
      <c r="I72" s="10"/>
      <c r="J72" s="9" t="str">
        <f>IF(VLOOKUP(E72,Engine!H:Q,10,FALSE)=0,"",VLOOKUP(E72,Engine!H:Q,10,FALSE))</f>
        <v>Panthers</v>
      </c>
      <c r="K72" s="74" t="str">
        <f t="shared" si="7"/>
        <v/>
      </c>
      <c r="L72" s="8">
        <f>VLOOKUP($A72,Engine!$D:$Z,22,FALSE)</f>
        <v>73</v>
      </c>
      <c r="M72" s="73"/>
      <c r="N72" s="8">
        <f>VLOOKUP($A72,Engine!$D:$Z,23,FALSE)</f>
        <v>3316</v>
      </c>
    </row>
    <row r="73" spans="1:14" x14ac:dyDescent="0.3">
      <c r="A73" s="70">
        <f t="shared" si="5"/>
        <v>59</v>
      </c>
      <c r="B73" s="8">
        <f t="shared" si="6"/>
        <v>59</v>
      </c>
      <c r="C73" s="71" t="str">
        <f>VLOOKUP($A73,Engine!$D:$H,2,FALSE)</f>
        <v>q</v>
      </c>
      <c r="D73" s="72">
        <f>VLOOKUP($A73,Engine!$D:$H,3,FALSE)</f>
        <v>2</v>
      </c>
      <c r="E73" s="8" t="str">
        <f>VLOOKUP($A73,Engine!$D:$H,5,FALSE)</f>
        <v>LetsGoPanthers</v>
      </c>
      <c r="F73" s="73"/>
      <c r="G73" s="9">
        <f>L73-VLOOKUP($A73,Engine!$D:$S,15,FALSE)</f>
        <v>-2</v>
      </c>
      <c r="H73" s="9">
        <f>N73-VLOOKUP($A73,Engine!$D:$S,16,FALSE)</f>
        <v>18</v>
      </c>
      <c r="I73" s="10"/>
      <c r="J73" s="9" t="str">
        <f>IF(VLOOKUP(E73,Engine!H:Q,10,FALSE)=0,"",VLOOKUP(E73,Engine!H:Q,10,FALSE))</f>
        <v>No Tips</v>
      </c>
      <c r="K73" s="74" t="str">
        <f t="shared" si="7"/>
        <v/>
      </c>
      <c r="L73" s="8">
        <f>VLOOKUP($A73,Engine!$D:$Z,22,FALSE)</f>
        <v>73</v>
      </c>
      <c r="M73" s="73"/>
      <c r="N73" s="8">
        <f>VLOOKUP($A73,Engine!$D:$Z,23,FALSE)</f>
        <v>3144</v>
      </c>
    </row>
    <row r="74" spans="1:14" x14ac:dyDescent="0.3">
      <c r="A74" s="70">
        <f t="shared" si="5"/>
        <v>60</v>
      </c>
      <c r="B74" s="8">
        <f t="shared" si="6"/>
        <v>60</v>
      </c>
      <c r="C74" s="71" t="str">
        <f>VLOOKUP($A74,Engine!$D:$H,2,FALSE)</f>
        <v>u</v>
      </c>
      <c r="D74" s="72" t="str">
        <f>VLOOKUP($A74,Engine!$D:$H,3,FALSE)</f>
        <v/>
      </c>
      <c r="E74" s="8" t="str">
        <f>VLOOKUP($A74,Engine!$D:$H,5,FALSE)</f>
        <v>BillyB</v>
      </c>
      <c r="F74" s="73"/>
      <c r="G74" s="9">
        <f>L74-VLOOKUP($A74,Engine!$D:$S,15,FALSE)</f>
        <v>1</v>
      </c>
      <c r="H74" s="9">
        <f>N74-VLOOKUP($A74,Engine!$D:$S,16,FALSE)</f>
        <v>34</v>
      </c>
      <c r="I74" s="10"/>
      <c r="J74" s="9" t="str">
        <f>IF(VLOOKUP(E74,Engine!H:Q,10,FALSE)=0,"",VLOOKUP(E74,Engine!H:Q,10,FALSE))</f>
        <v>Broncos</v>
      </c>
      <c r="K74" s="74" t="str">
        <f t="shared" si="7"/>
        <v/>
      </c>
      <c r="L74" s="8">
        <f>VLOOKUP($A74,Engine!$D:$Z,22,FALSE)</f>
        <v>72</v>
      </c>
      <c r="M74" s="73"/>
      <c r="N74" s="8">
        <f>VLOOKUP($A74,Engine!$D:$Z,23,FALSE)</f>
        <v>3240</v>
      </c>
    </row>
    <row r="75" spans="1:14" x14ac:dyDescent="0.3">
      <c r="A75" s="70">
        <f t="shared" si="5"/>
        <v>61</v>
      </c>
      <c r="B75" s="8">
        <f t="shared" si="6"/>
        <v>61</v>
      </c>
      <c r="C75" s="71" t="str">
        <f>VLOOKUP($A75,Engine!$D:$H,2,FALSE)</f>
        <v>u</v>
      </c>
      <c r="D75" s="72" t="str">
        <f>VLOOKUP($A75,Engine!$D:$H,3,FALSE)</f>
        <v/>
      </c>
      <c r="E75" s="8" t="str">
        <f>VLOOKUP($A75,Engine!$D:$H,5,FALSE)</f>
        <v>isha68</v>
      </c>
      <c r="F75" s="73"/>
      <c r="G75" s="9">
        <f>L75-VLOOKUP($A75,Engine!$D:$S,15,FALSE)</f>
        <v>-2</v>
      </c>
      <c r="H75" s="9">
        <f>N75-VLOOKUP($A75,Engine!$D:$S,16,FALSE)</f>
        <v>18</v>
      </c>
      <c r="I75" s="10"/>
      <c r="J75" s="9" t="str">
        <f>IF(VLOOKUP(E75,Engine!H:Q,10,FALSE)=0,"",VLOOKUP(E75,Engine!H:Q,10,FALSE))</f>
        <v>Wests Tigers</v>
      </c>
      <c r="K75" s="74" t="str">
        <f t="shared" si="7"/>
        <v>û</v>
      </c>
      <c r="L75" s="8">
        <f>VLOOKUP($A75,Engine!$D:$Z,22,FALSE)</f>
        <v>66</v>
      </c>
      <c r="M75" s="73"/>
      <c r="N75" s="8">
        <f>VLOOKUP($A75,Engine!$D:$Z,23,FALSE)</f>
        <v>3166</v>
      </c>
    </row>
    <row r="76" spans="1:14" x14ac:dyDescent="0.3">
      <c r="A76" s="70">
        <f t="shared" si="5"/>
        <v>62</v>
      </c>
      <c r="B76" s="8">
        <f t="shared" si="6"/>
        <v>62</v>
      </c>
      <c r="C76" s="71" t="str">
        <f>VLOOKUP($A76,Engine!$D:$H,2,FALSE)</f>
        <v>u</v>
      </c>
      <c r="D76" s="72" t="str">
        <f>VLOOKUP($A76,Engine!$D:$H,3,FALSE)</f>
        <v/>
      </c>
      <c r="E76" s="8" t="str">
        <f>VLOOKUP($A76,Engine!$D:$H,5,FALSE)</f>
        <v>GreenMachine</v>
      </c>
      <c r="F76" s="73"/>
      <c r="G76" s="9">
        <f>L76-VLOOKUP($A76,Engine!$D:$S,15,FALSE)</f>
        <v>-2</v>
      </c>
      <c r="H76" s="9">
        <f>N76-VLOOKUP($A76,Engine!$D:$S,16,FALSE)</f>
        <v>18</v>
      </c>
      <c r="I76" s="10"/>
      <c r="J76" s="9" t="str">
        <f>IF(VLOOKUP(E76,Engine!H:Q,10,FALSE)=0,"",VLOOKUP(E76,Engine!H:Q,10,FALSE))</f>
        <v>No Tips</v>
      </c>
      <c r="K76" s="74" t="str">
        <f t="shared" si="7"/>
        <v/>
      </c>
      <c r="L76" s="8">
        <f>VLOOKUP($A76,Engine!$D:$Z,22,FALSE)</f>
        <v>52</v>
      </c>
      <c r="M76" s="73"/>
      <c r="N76" s="8">
        <f>VLOOKUP($A76,Engine!$D:$Z,23,FALSE)</f>
        <v>2961</v>
      </c>
    </row>
    <row r="77" spans="1:14" x14ac:dyDescent="0.3">
      <c r="A77" s="70">
        <f t="shared" si="5"/>
        <v>63</v>
      </c>
      <c r="B77" s="8">
        <f t="shared" si="6"/>
        <v>63</v>
      </c>
      <c r="C77" s="71" t="str">
        <f>VLOOKUP($A77,Engine!$D:$H,2,FALSE)</f>
        <v>u</v>
      </c>
      <c r="D77" s="72" t="str">
        <f>VLOOKUP($A77,Engine!$D:$H,3,FALSE)</f>
        <v/>
      </c>
      <c r="E77" s="8" t="str">
        <f>VLOOKUP($A77,Engine!$D:$H,5,FALSE)</f>
        <v>Eric The Eel</v>
      </c>
      <c r="F77" s="73"/>
      <c r="G77" s="9">
        <f>L77-VLOOKUP($A77,Engine!$D:$S,15,FALSE)</f>
        <v>-2</v>
      </c>
      <c r="H77" s="9">
        <f>N77-VLOOKUP($A77,Engine!$D:$S,16,FALSE)</f>
        <v>18</v>
      </c>
      <c r="I77" s="10"/>
      <c r="J77" s="9" t="str">
        <f>IF(VLOOKUP(E77,Engine!H:Q,10,FALSE)=0,"",VLOOKUP(E77,Engine!H:Q,10,FALSE))</f>
        <v>No Tips</v>
      </c>
      <c r="K77" s="74" t="str">
        <f t="shared" si="7"/>
        <v/>
      </c>
      <c r="L77" s="8">
        <f>VLOOKUP($A77,Engine!$D:$Z,22,FALSE)</f>
        <v>37</v>
      </c>
      <c r="M77" s="73"/>
      <c r="N77" s="8">
        <f>VLOOKUP($A77,Engine!$D:$Z,23,FALSE)</f>
        <v>2911</v>
      </c>
    </row>
    <row r="78" spans="1:14" x14ac:dyDescent="0.3">
      <c r="A78" s="70">
        <f t="shared" si="5"/>
        <v>64</v>
      </c>
      <c r="B78" s="8">
        <f t="shared" si="6"/>
        <v>64</v>
      </c>
      <c r="C78" s="71" t="str">
        <f>VLOOKUP($A78,Engine!$D:$H,2,FALSE)</f>
        <v>u</v>
      </c>
      <c r="D78" s="72" t="str">
        <f>VLOOKUP($A78,Engine!$D:$H,3,FALSE)</f>
        <v/>
      </c>
      <c r="E78" s="8" t="str">
        <f>VLOOKUP($A78,Engine!$D:$H,5,FALSE)</f>
        <v>AaronC</v>
      </c>
      <c r="F78" s="73"/>
      <c r="G78" s="9">
        <f>L78-VLOOKUP($A78,Engine!$D:$S,15,FALSE)</f>
        <v>-2</v>
      </c>
      <c r="H78" s="9">
        <f>N78-VLOOKUP($A78,Engine!$D:$S,16,FALSE)</f>
        <v>18</v>
      </c>
      <c r="I78" s="10"/>
      <c r="J78" s="9" t="str">
        <f>IF(VLOOKUP(E78,Engine!H:Q,10,FALSE)=0,"",VLOOKUP(E78,Engine!H:Q,10,FALSE))</f>
        <v>No Tips</v>
      </c>
      <c r="K78" s="74" t="str">
        <f t="shared" si="7"/>
        <v/>
      </c>
      <c r="L78" s="8">
        <f>VLOOKUP($A78,Engine!$D:$Z,22,FALSE)</f>
        <v>37</v>
      </c>
      <c r="M78" s="73"/>
      <c r="N78" s="8">
        <f>VLOOKUP($A78,Engine!$D:$Z,23,FALSE)</f>
        <v>2873</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-2</v>
      </c>
      <c r="H79" s="9">
        <f>N79-VLOOKUP($A79,Engine!$D:$S,16,FALSE)</f>
        <v>18</v>
      </c>
      <c r="I79" s="10"/>
      <c r="J79" s="9" t="str">
        <f>IF(VLOOKUP(E79,Engine!H:Q,10,FALSE)=0,"",VLOOKUP(E79,Engine!H:Q,10,FALSE))</f>
        <v>No Tips</v>
      </c>
      <c r="K79" s="74" t="str">
        <f t="shared" si="7"/>
        <v/>
      </c>
      <c r="L79" s="8">
        <f>VLOOKUP($A79,Engine!$D:$Z,22,FALSE)</f>
        <v>31</v>
      </c>
      <c r="M79" s="73"/>
      <c r="N79" s="8">
        <f>VLOOKUP($A79,Engine!$D:$Z,23,FALSE)</f>
        <v>2839</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-2</v>
      </c>
      <c r="H80" s="9">
        <f>N80-VLOOKUP($A80,Engine!$D:$S,16,FALSE)</f>
        <v>18</v>
      </c>
      <c r="I80" s="10"/>
      <c r="J80" s="9" t="str">
        <f>IF(VLOOKUP(E80,Engine!H:Q,10,FALSE)=0,"",VLOOKUP(E80,Engine!H:Q,10,FALSE))</f>
        <v>No Tips</v>
      </c>
      <c r="K80" s="74" t="str">
        <f t="shared" si="7"/>
        <v/>
      </c>
      <c r="L80" s="8">
        <f>VLOOKUP($A80,Engine!$D:$Z,22,FALSE)</f>
        <v>21</v>
      </c>
      <c r="M80" s="73"/>
      <c r="N80" s="8">
        <f>VLOOKUP($A80,Engine!$D:$Z,23,FALSE)</f>
        <v>2763</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18</v>
      </c>
      <c r="I81" s="10"/>
      <c r="J81" s="9" t="str">
        <f>IF(VLOOKUP(E81,Engine!H:Q,10,FALSE)=0,"",VLOOKUP(E81,Engine!H:Q,10,FALSE))</f>
        <v>No Tips</v>
      </c>
      <c r="K81" s="74" t="str">
        <f t="shared" si="7"/>
        <v/>
      </c>
      <c r="L81" s="8">
        <f>VLOOKUP($A81,Engine!$D:$Z,22,FALSE)</f>
        <v>9</v>
      </c>
      <c r="M81" s="73"/>
      <c r="N81" s="8">
        <f>VLOOKUP($A81,Engine!$D:$Z,23,FALSE)</f>
        <v>2654</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18</v>
      </c>
      <c r="I82" s="10"/>
      <c r="J82" s="9" t="str">
        <f>IF(VLOOKUP(E82,Engine!H:Q,10,FALSE)=0,"",VLOOKUP(E82,Engine!H:Q,10,FALSE))</f>
        <v>No Tips</v>
      </c>
      <c r="K82" s="74" t="str">
        <f t="shared" ref="K82" si="10">IF(COUNTIF(P$4:P$11,J82)=1,R$6,IF(COUNTIF(Q$4:Q$11,J82)=1,R$7,""))</f>
        <v/>
      </c>
      <c r="L82" s="8">
        <f>VLOOKUP($A82,Engine!$D:$Z,22,FALSE)</f>
        <v>6</v>
      </c>
      <c r="M82" s="73"/>
      <c r="N82" s="8">
        <f>VLOOKUP($A82,Engine!$D:$Z,23,FALSE)</f>
        <v>2634</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zpZYM4UuQqYtgVsLb40+tnGL6xaeEtJPa4GN2PUINDRWIDjSIRrEgo/G7T5XeipQvAjo7Ic8VyRUo4PN3Iwi+A==" saltValue="QHATFvh5kfAWzdD+OJOdc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7" priority="88" stopIfTrue="1" operator="equal">
      <formula>#REF!</formula>
    </cfRule>
    <cfRule type="cellIs" dxfId="26" priority="89" stopIfTrue="1" operator="equal">
      <formula>#REF!</formula>
    </cfRule>
    <cfRule type="cellIs" dxfId="25" priority="90" stopIfTrue="1" operator="equal">
      <formula>"ERROR"</formula>
    </cfRule>
  </conditionalFormatting>
  <conditionalFormatting sqref="B15:B83 E15:E83 G15:H83 J15:J83 L15:L83 N15:N83">
    <cfRule type="expression" dxfId="24" priority="1" stopIfTrue="1">
      <formula>$C15=$R$4</formula>
    </cfRule>
    <cfRule type="expression" dxfId="23" priority="2" stopIfTrue="1">
      <formula>$C15=$R$3</formula>
    </cfRule>
  </conditionalFormatting>
  <conditionalFormatting sqref="C8:D8">
    <cfRule type="expression" dxfId="22" priority="16">
      <formula>$T$3&lt;5</formula>
    </cfRule>
  </conditionalFormatting>
  <conditionalFormatting sqref="C9:D9">
    <cfRule type="expression" dxfId="21" priority="17">
      <formula>$T$3&lt;6</formula>
    </cfRule>
  </conditionalFormatting>
  <conditionalFormatting sqref="C10:D10">
    <cfRule type="expression" dxfId="20" priority="18">
      <formula>$T$3&lt;7</formula>
    </cfRule>
  </conditionalFormatting>
  <conditionalFormatting sqref="C11:D11">
    <cfRule type="expression" dxfId="19" priority="19">
      <formula>$T$3&lt;8</formula>
    </cfRule>
  </conditionalFormatting>
  <conditionalFormatting sqref="C15:D83">
    <cfRule type="expression" dxfId="18" priority="3">
      <formula>$C15=$R$4</formula>
    </cfRule>
    <cfRule type="expression" dxfId="17" priority="4">
      <formula>$C15=$R$3</formula>
    </cfRule>
  </conditionalFormatting>
  <conditionalFormatting sqref="G8:H8 J8 L8 N8">
    <cfRule type="expression" dxfId="16" priority="27">
      <formula>$M$4=$R$5</formula>
    </cfRule>
    <cfRule type="expression" dxfId="15" priority="28">
      <formula>$M$4=$R$4</formula>
    </cfRule>
    <cfRule type="expression" dxfId="14" priority="29">
      <formula>$M$4=$R$3</formula>
    </cfRule>
  </conditionalFormatting>
  <conditionalFormatting sqref="K8">
    <cfRule type="expression" dxfId="13" priority="23">
      <formula>$K8=$R$7</formula>
    </cfRule>
  </conditionalFormatting>
  <conditionalFormatting sqref="K15:K83">
    <cfRule type="expression" dxfId="12" priority="5">
      <formula>$K15=$R$7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14</v>
      </c>
      <c r="C2" s="113">
        <f>IF(H2="ZZZZZZ Suspend","",R2+(S2/100000)+(G2/1000000000))</f>
        <v>104.036310093</v>
      </c>
      <c r="D2">
        <f t="shared" ref="D2:D33" si="1">IF(H2="ZZZZZZ Suspend","",RANK(AA2,AA:AA))</f>
        <v>14</v>
      </c>
      <c r="E2" s="3" t="str">
        <f>IF(H2="ZZZZZZ Suspend","",IF(D2&lt;B2,AD$3,IF(D2&gt;B2,AD$4,AD$5)))</f>
        <v>u</v>
      </c>
      <c r="F2" t="str">
        <f t="shared" ref="F2" si="2">IF(H2="ZZZZZZ Suspend","",IF(D2&gt;B2,D2-B2,IF(D2&lt;B2,B2-D2,"")))</f>
        <v/>
      </c>
      <c r="G2">
        <v>93</v>
      </c>
      <c r="H2" t="str">
        <f>Data!A3</f>
        <v>9986</v>
      </c>
      <c r="I2" s="2" t="str">
        <f>Data!C3</f>
        <v>Knights</v>
      </c>
      <c r="J2" s="2" t="str">
        <f>Data!D3</f>
        <v>Broncos</v>
      </c>
      <c r="K2" s="2" t="str">
        <f>Data!E3</f>
        <v>Cowboys</v>
      </c>
      <c r="L2" s="2" t="str">
        <f>IF(Data!$S$3&lt;Engine!L$1,0,Data!F3)</f>
        <v>Storm</v>
      </c>
      <c r="M2" s="2" t="str">
        <f>IF(Data!$S$3&lt;Engine!M$1,0,Data!G3)</f>
        <v>Warriors</v>
      </c>
      <c r="N2" s="2" t="str">
        <f>IF(Data!$S$3&lt;Engine!N$1,0,Data!H3)</f>
        <v>Panthers</v>
      </c>
      <c r="O2" s="2" t="str">
        <f>IF(Data!$S$3&lt;Engine!O$1,0,Data!I3)</f>
        <v>Eels</v>
      </c>
      <c r="P2" s="2">
        <f>IF(Data!$S$3&lt;Engine!P$1,0,Data!J3)</f>
        <v>0</v>
      </c>
      <c r="Q2" s="12" t="str">
        <f>IF(Data!B3=1,Data!K3,"No Tips")</f>
        <v>Panthers</v>
      </c>
      <c r="R2" s="2">
        <f>Data!L3</f>
        <v>104</v>
      </c>
      <c r="S2" s="2">
        <f>Data!M3</f>
        <v>3631</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34</v>
      </c>
      <c r="Y2">
        <f t="shared" ref="Y2:Y15" si="4">IF(H2="ZZZZZZ Suspend","",R2+W2)</f>
        <v>105</v>
      </c>
      <c r="Z2">
        <f t="shared" ref="Z2" si="5">IF(H2="ZZZZZZ Suspend","",S2+X2)</f>
        <v>3665</v>
      </c>
      <c r="AA2" s="113">
        <f>IF(H2="ZZZZZZ Suspend","",Y2+(Z2/100000)+(G2/1000000000))</f>
        <v>105.03665009299999</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34</v>
      </c>
      <c r="AD2">
        <f>MIN(AB:AB)</f>
        <v>-2</v>
      </c>
      <c r="AE2">
        <f>MIN(AC:AC)</f>
        <v>18</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2</v>
      </c>
      <c r="AL2">
        <f t="shared" ref="AL2" si="7">IF(I2="","",SUM(AG2:AK2))</f>
        <v>11</v>
      </c>
    </row>
    <row r="3" spans="1:38" x14ac:dyDescent="0.3">
      <c r="A3">
        <v>2</v>
      </c>
      <c r="B3">
        <f t="shared" si="0"/>
        <v>64</v>
      </c>
      <c r="C3" s="113">
        <f t="shared" ref="C3:C66" si="8">IF(H3="ZZZZZZ Suspend","",R3+(S3/100000)+(G3/1000000000))</f>
        <v>39.028550092000003</v>
      </c>
      <c r="D3">
        <f t="shared" si="1"/>
        <v>64</v>
      </c>
      <c r="E3" s="3"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f>IF(Data!$S$3&lt;Engine!P$1,0,Data!J4)</f>
        <v>0</v>
      </c>
      <c r="Q3" s="12" t="str">
        <f>IF(Data!B4=1,Data!K4,"No Tips")</f>
        <v>No Tips</v>
      </c>
      <c r="R3" s="2">
        <f>Data!L4</f>
        <v>39</v>
      </c>
      <c r="S3" s="2">
        <f>Data!M4</f>
        <v>2855</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-2</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18</v>
      </c>
      <c r="Y3">
        <f t="shared" si="4"/>
        <v>37</v>
      </c>
      <c r="Z3">
        <f t="shared" ref="Z3:Z66" si="12">IF(H3="ZZZZZZ Suspend","",S3+X3)</f>
        <v>2873</v>
      </c>
      <c r="AA3" s="113">
        <f t="shared" ref="AA3:AA66" si="13">IF(H3="ZZZZZZ Suspend","",Y3+(Z3/100000)+(G3/1000000000))</f>
        <v>37.028730092000004</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56</v>
      </c>
      <c r="C4" s="113">
        <f t="shared" si="8"/>
        <v>75.032900091000002</v>
      </c>
      <c r="D4">
        <f t="shared" si="1"/>
        <v>57</v>
      </c>
      <c r="E4" s="3" t="str">
        <f t="shared" si="9"/>
        <v>q</v>
      </c>
      <c r="F4">
        <f t="shared" si="10"/>
        <v>1</v>
      </c>
      <c r="G4">
        <v>91</v>
      </c>
      <c r="H4" t="str">
        <f>Data!A5</f>
        <v>Adel Messih</v>
      </c>
      <c r="I4" s="2" t="str">
        <f>Data!C5</f>
        <v>Wests Tigers</v>
      </c>
      <c r="J4" s="2" t="str">
        <f>Data!D5</f>
        <v>Broncos</v>
      </c>
      <c r="K4" s="2" t="str">
        <f>Data!E5</f>
        <v>Sea Eagles</v>
      </c>
      <c r="L4" s="2" t="str">
        <f>IF(Data!$S$3&lt;Engine!L$1,0,Data!F5)</f>
        <v>Storm</v>
      </c>
      <c r="M4" s="2" t="str">
        <f>IF(Data!$S$3&lt;Engine!M$1,0,Data!G5)</f>
        <v>Warriors</v>
      </c>
      <c r="N4" s="2" t="str">
        <f>IF(Data!$S$3&lt;Engine!N$1,0,Data!H5)</f>
        <v>Panthers</v>
      </c>
      <c r="O4" s="2" t="str">
        <f>IF(Data!$S$3&lt;Engine!O$1,0,Data!I5)</f>
        <v>Titans</v>
      </c>
      <c r="P4" s="2">
        <f>IF(Data!$S$3&lt;Engine!P$1,0,Data!J5)</f>
        <v>0</v>
      </c>
      <c r="Q4" s="12" t="str">
        <f>IF(Data!B5=1,Data!K5,"No Tips")</f>
        <v>Storm</v>
      </c>
      <c r="R4" s="2">
        <f>Data!L5</f>
        <v>75</v>
      </c>
      <c r="S4" s="2">
        <f>Data!M5</f>
        <v>3290</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18</v>
      </c>
      <c r="Y4">
        <f t="shared" si="4"/>
        <v>75</v>
      </c>
      <c r="Z4">
        <f t="shared" si="12"/>
        <v>3308</v>
      </c>
      <c r="AA4" s="113">
        <f t="shared" si="13"/>
        <v>75.033080091000002</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18</v>
      </c>
      <c r="AD4" s="3" t="s">
        <v>15</v>
      </c>
      <c r="AF4">
        <f>IF(I4="","",IF(Q4="",0,IF(AND(Q4&gt;0,COUNTIF('Stats Calculator'!$T$24:$AA$24,Q4)=1),HLOOKUP(Q4,'Stats Calculator'!$T$24:$AA$27,4,FALSE),IF(AND(Q4&gt;0,COUNTIF('Stats Calculator'!$T$25:$AA$25,Q4)=1),HLOOKUP(Q4,'Stats Calculator'!$T$25:$AA$27,3,FALSE)))))</f>
        <v>4</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0</v>
      </c>
      <c r="AL4">
        <f t="shared" si="14"/>
        <v>8</v>
      </c>
    </row>
    <row r="5" spans="1:38" x14ac:dyDescent="0.3">
      <c r="A5">
        <v>4</v>
      </c>
      <c r="B5">
        <f t="shared" si="0"/>
        <v>23</v>
      </c>
      <c r="C5" s="113">
        <f t="shared" si="8"/>
        <v>97.03510009</v>
      </c>
      <c r="D5">
        <f t="shared" si="1"/>
        <v>29</v>
      </c>
      <c r="E5" s="3" t="str">
        <f t="shared" si="9"/>
        <v>q</v>
      </c>
      <c r="F5">
        <f t="shared" si="10"/>
        <v>6</v>
      </c>
      <c r="G5">
        <v>90</v>
      </c>
      <c r="H5" t="str">
        <f>Data!A6</f>
        <v>Admireel</v>
      </c>
      <c r="I5" s="2" t="str">
        <f>Data!C6</f>
        <v/>
      </c>
      <c r="J5" s="2" t="str">
        <f>Data!D6</f>
        <v/>
      </c>
      <c r="K5" s="2" t="str">
        <f>Data!E6</f>
        <v/>
      </c>
      <c r="L5" s="2" t="str">
        <f>IF(Data!$S$3&lt;Engine!L$1,0,Data!F6)</f>
        <v/>
      </c>
      <c r="M5" s="2" t="str">
        <f>IF(Data!$S$3&lt;Engine!M$1,0,Data!G6)</f>
        <v/>
      </c>
      <c r="N5" s="2" t="str">
        <f>IF(Data!$S$3&lt;Engine!N$1,0,Data!H6)</f>
        <v/>
      </c>
      <c r="O5" s="2" t="str">
        <f>IF(Data!$S$3&lt;Engine!O$1,0,Data!I6)</f>
        <v/>
      </c>
      <c r="P5" s="2">
        <f>IF(Data!$S$3&lt;Engine!P$1,0,Data!J6)</f>
        <v>0</v>
      </c>
      <c r="Q5" s="12" t="str">
        <f>IF(Data!B6=1,Data!K6,"No Tips")</f>
        <v>No Tips</v>
      </c>
      <c r="R5" s="2">
        <f>Data!L6</f>
        <v>97</v>
      </c>
      <c r="S5" s="2">
        <f>Data!M6</f>
        <v>3510</v>
      </c>
      <c r="T5" s="1" t="str">
        <f>IF(I5="","",COUNTIF('Live Ladder'!P:P,I5)+COUNTIF('Live Ladder'!P:P,J5)+COUNTIF('Live Ladder'!P:P,K5)+COUNTIF('Live Ladder'!P:P,L5)+COUNTIF('Live Ladder'!P:P,M5)+COUNTIF('Live Ladder'!P:P,N5)+COUNTIF('Live Ladder'!P:P,O5)+COUNTIF('Live Ladder'!P:P,P5))</f>
        <v/>
      </c>
      <c r="U5" s="1" t="str">
        <f>IF(I5="","",IF(COUNTIF('Live Ladder'!P:P,Engine!Q5)=1,2,IF(COUNTIF('Live Ladder'!Q:Q,Engine!Q5)=1,-2,0)))</f>
        <v/>
      </c>
      <c r="V5" s="1" t="str">
        <f>IF(I5="","",IF(T5=Data!S$3,2,0))</f>
        <v/>
      </c>
      <c r="W5" s="1">
        <f t="shared" si="11"/>
        <v>-2</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18</v>
      </c>
      <c r="Y5">
        <f t="shared" si="4"/>
        <v>95</v>
      </c>
      <c r="Z5">
        <f t="shared" si="12"/>
        <v>3528</v>
      </c>
      <c r="AA5" s="113">
        <f t="shared" si="13"/>
        <v>95.035280090000001</v>
      </c>
      <c r="AB5">
        <f t="shared" ref="AB5:AB6" si="15">SUM(T5:V5)</f>
        <v>0</v>
      </c>
      <c r="AC5" t="str">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
      </c>
      <c r="AD5" s="3" t="s">
        <v>16</v>
      </c>
      <c r="AF5" t="str">
        <f>IF(I5="","",IF(Q5="",0,IF(AND(Q5&gt;0,COUNTIF('Stats Calculator'!$T$24:$AA$24,Q5)=1),HLOOKUP(Q5,'Stats Calculator'!$T$24:$AA$27,4,FALSE),IF(AND(Q5&gt;0,COUNTIF('Stats Calculator'!$T$25:$AA$25,Q5)=1),HLOOKUP(Q5,'Stats Calculator'!$T$25:$AA$27,3,FALSE)))))</f>
        <v/>
      </c>
      <c r="AG5" t="str">
        <f>IF(I5="","",COUNTIF(I5,'Stats Calculator'!E$31)+COUNTIF(J5,'Stats Calculator'!E$32)+COUNTIF(K5,'Stats Calculator'!E$33)+COUNTIF(L5,'Stats Calculator'!E$34)+COUNTIF(M5,'Stats Calculator'!E$35)+COUNTIF(N5,'Stats Calculator'!E$36)+COUNTIF(O5,'Stats Calculator'!E$37)+COUNTIF(P5,'Stats Calculator'!E$38)-8+Data!S$3)</f>
        <v/>
      </c>
      <c r="AH5" t="str">
        <f>IF(I5="","",IF(Q5="",0,IF(Q5=0,0,IF(VLOOKUP(Engine!AF5,'Stats Calculator'!B$31:E$38,4,FALSE)="",0,IF(VLOOKUP(Engine!AF5,'Stats Calculator'!B$31:E$38,4,FALSE)=Q5,2,-2)))))</f>
        <v/>
      </c>
      <c r="AI5" t="str">
        <f>IF(I5="","",Data!S$3-COUNTA('Stats Calculator'!E$31:E$38))</f>
        <v/>
      </c>
      <c r="AJ5" t="str">
        <f>IF(I5="","",IF(AF5=0,0,IF(VLOOKUP(AF5,'Stats Calculator'!B$31:E$38,4,FALSE)&gt;0,0,2)))</f>
        <v/>
      </c>
      <c r="AK5" t="str">
        <f>IF(I5="","",IF(Data!S$3-Engine!AI5=AG5,2,0))</f>
        <v/>
      </c>
      <c r="AL5" t="str">
        <f t="shared" si="14"/>
        <v/>
      </c>
    </row>
    <row r="6" spans="1:38" x14ac:dyDescent="0.3">
      <c r="A6">
        <v>5</v>
      </c>
      <c r="B6">
        <f t="shared" si="0"/>
        <v>33</v>
      </c>
      <c r="C6" s="113">
        <f t="shared" si="8"/>
        <v>90.033650088999991</v>
      </c>
      <c r="D6">
        <f t="shared" si="1"/>
        <v>32</v>
      </c>
      <c r="E6" s="3" t="str">
        <f t="shared" si="9"/>
        <v>p</v>
      </c>
      <c r="F6">
        <f t="shared" si="10"/>
        <v>1</v>
      </c>
      <c r="G6">
        <v>89</v>
      </c>
      <c r="H6" t="str">
        <f>Data!A7</f>
        <v>Azza98</v>
      </c>
      <c r="I6" s="2" t="str">
        <f>Data!C7</f>
        <v>Knights</v>
      </c>
      <c r="J6" s="2" t="str">
        <f>Data!D7</f>
        <v>Broncos</v>
      </c>
      <c r="K6" s="2" t="str">
        <f>Data!E7</f>
        <v>Cowboys</v>
      </c>
      <c r="L6" s="2" t="str">
        <f>IF(Data!$S$3&lt;Engine!L$1,0,Data!F7)</f>
        <v>Storm</v>
      </c>
      <c r="M6" s="2" t="str">
        <f>IF(Data!$S$3&lt;Engine!M$1,0,Data!G7)</f>
        <v>Warriors</v>
      </c>
      <c r="N6" s="2" t="str">
        <f>IF(Data!$S$3&lt;Engine!N$1,0,Data!H7)</f>
        <v>Panthers</v>
      </c>
      <c r="O6" s="2" t="str">
        <f>IF(Data!$S$3&lt;Engine!O$1,0,Data!I7)</f>
        <v>Eels</v>
      </c>
      <c r="P6" s="2">
        <f>IF(Data!$S$3&lt;Engine!P$1,0,Data!J7)</f>
        <v>0</v>
      </c>
      <c r="Q6" s="12" t="str">
        <f>IF(Data!B7=1,Data!K7,"No Tips")</f>
        <v>Knights</v>
      </c>
      <c r="R6" s="2">
        <f>Data!L7</f>
        <v>90</v>
      </c>
      <c r="S6" s="2">
        <f>Data!M7</f>
        <v>3365</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2</v>
      </c>
      <c r="V6" s="1">
        <f>IF(I6="","",IF(T6=Data!S$3,2,0))</f>
        <v>0</v>
      </c>
      <c r="W6" s="1">
        <f t="shared" si="11"/>
        <v>3</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Y6">
        <f t="shared" si="4"/>
        <v>93</v>
      </c>
      <c r="Z6">
        <f t="shared" si="12"/>
        <v>3399</v>
      </c>
      <c r="AA6" s="113">
        <f t="shared" si="13"/>
        <v>93.033990089</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34</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6</v>
      </c>
      <c r="AJ6">
        <f>IF(I6="","",IF(AF6=0,0,IF(VLOOKUP(AF6,'Stats Calculator'!B$31:E$38,4,FALSE)&gt;0,0,2)))</f>
        <v>0</v>
      </c>
      <c r="AK6">
        <f>IF(I6="","",IF(Data!S$3-Engine!AI6=AG6,2,0))</f>
        <v>2</v>
      </c>
      <c r="AL6">
        <f t="shared" si="14"/>
        <v>11</v>
      </c>
    </row>
    <row r="7" spans="1:38" x14ac:dyDescent="0.3">
      <c r="A7">
        <v>6</v>
      </c>
      <c r="B7">
        <f t="shared" si="0"/>
        <v>37</v>
      </c>
      <c r="C7" s="113">
        <f t="shared" si="8"/>
        <v>88.035080087999987</v>
      </c>
      <c r="D7">
        <f t="shared" si="1"/>
        <v>37</v>
      </c>
      <c r="E7" s="3" t="str">
        <f t="shared" si="9"/>
        <v>u</v>
      </c>
      <c r="F7" t="str">
        <f t="shared" si="10"/>
        <v/>
      </c>
      <c r="G7">
        <v>88</v>
      </c>
      <c r="H7" t="str">
        <f>Data!A8</f>
        <v>Bart Simpson</v>
      </c>
      <c r="I7" s="2" t="str">
        <f>Data!C8</f>
        <v>Knights</v>
      </c>
      <c r="J7" s="2" t="str">
        <f>Data!D8</f>
        <v>Broncos</v>
      </c>
      <c r="K7" s="2" t="str">
        <f>Data!E8</f>
        <v>Sea Eagles</v>
      </c>
      <c r="L7" s="2" t="str">
        <f>IF(Data!$S$3&lt;Engine!L$1,0,Data!F8)</f>
        <v>Storm</v>
      </c>
      <c r="M7" s="2" t="str">
        <f>IF(Data!$S$3&lt;Engine!M$1,0,Data!G8)</f>
        <v>Sharks</v>
      </c>
      <c r="N7" s="2" t="str">
        <f>IF(Data!$S$3&lt;Engine!N$1,0,Data!H8)</f>
        <v>Panthers</v>
      </c>
      <c r="O7" s="2" t="str">
        <f>IF(Data!$S$3&lt;Engine!O$1,0,Data!I8)</f>
        <v>Eels</v>
      </c>
      <c r="P7" s="2">
        <f>IF(Data!$S$3&lt;Engine!P$1,0,Data!J8)</f>
        <v>0</v>
      </c>
      <c r="Q7" s="12" t="str">
        <f>IF(Data!B8=1,Data!K8,"No Tips")</f>
        <v>Broncos</v>
      </c>
      <c r="R7" s="2">
        <f>Data!L8</f>
        <v>88</v>
      </c>
      <c r="S7" s="2">
        <f>Data!M8</f>
        <v>3508</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34</v>
      </c>
      <c r="Y7">
        <f t="shared" si="4"/>
        <v>89</v>
      </c>
      <c r="Z7">
        <f t="shared" si="12"/>
        <v>3542</v>
      </c>
      <c r="AA7" s="113">
        <f t="shared" si="13"/>
        <v>89.035420087999995</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34</v>
      </c>
      <c r="AF7">
        <f>IF(I7="","",IF(Q7="",0,IF(AND(Q7&gt;0,COUNTIF('Stats Calculator'!$T$24:$AA$24,Q7)=1),HLOOKUP(Q7,'Stats Calculator'!$T$24:$AA$27,4,FALSE),IF(AND(Q7&gt;0,COUNTIF('Stats Calculator'!$T$25:$AA$25,Q7)=1),HLOOKUP(Q7,'Stats Calculator'!$T$25:$AA$27,3,FALSE)))))</f>
        <v>2</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6</v>
      </c>
      <c r="AJ7">
        <f>IF(I7="","",IF(AF7=0,0,IF(VLOOKUP(AF7,'Stats Calculator'!B$31:E$38,4,FALSE)&gt;0,0,2)))</f>
        <v>2</v>
      </c>
      <c r="AK7">
        <f>IF(I7="","",IF(Data!S$3-Engine!AI7=AG7,2,0))</f>
        <v>2</v>
      </c>
      <c r="AL7">
        <f t="shared" si="14"/>
        <v>11</v>
      </c>
    </row>
    <row r="8" spans="1:38" s="110" customFormat="1" x14ac:dyDescent="0.3">
      <c r="A8" s="110">
        <v>7</v>
      </c>
      <c r="B8" s="110">
        <f t="shared" si="0"/>
        <v>1</v>
      </c>
      <c r="C8" s="113">
        <f t="shared" si="8"/>
        <v>114.03636008700001</v>
      </c>
      <c r="D8" s="110">
        <f t="shared" si="1"/>
        <v>1</v>
      </c>
      <c r="E8" s="111" t="str">
        <f t="shared" si="9"/>
        <v>u</v>
      </c>
      <c r="F8" s="110" t="str">
        <f t="shared" si="10"/>
        <v/>
      </c>
      <c r="G8">
        <v>87</v>
      </c>
      <c r="H8" t="str">
        <f>Data!A9</f>
        <v>Big Baba</v>
      </c>
      <c r="I8" s="2" t="str">
        <f>Data!C9</f>
        <v>Knights</v>
      </c>
      <c r="J8" s="2" t="str">
        <f>Data!D9</f>
        <v>Broncos</v>
      </c>
      <c r="K8" s="2" t="str">
        <f>Data!E9</f>
        <v>Cowboys</v>
      </c>
      <c r="L8" s="2" t="str">
        <f>IF(Data!$S$3&lt;Engine!L$1,0,Data!F9)</f>
        <v>Storm</v>
      </c>
      <c r="M8" s="2" t="str">
        <f>IF(Data!$S$3&lt;Engine!M$1,0,Data!G9)</f>
        <v>Warriors</v>
      </c>
      <c r="N8" s="2" t="str">
        <f>IF(Data!$S$3&lt;Engine!N$1,0,Data!H9)</f>
        <v>Panthers</v>
      </c>
      <c r="O8" s="2" t="str">
        <f>IF(Data!$S$3&lt;Engine!O$1,0,Data!I9)</f>
        <v>Eels</v>
      </c>
      <c r="P8" s="2">
        <f>IF(Data!$S$3&lt;Engine!P$1,0,Data!J9)</f>
        <v>0</v>
      </c>
      <c r="Q8" s="12" t="str">
        <f>IF(Data!B9=1,Data!K9,"No Tips")</f>
        <v>Knights</v>
      </c>
      <c r="R8" s="2">
        <f>Data!L9</f>
        <v>114</v>
      </c>
      <c r="S8" s="2">
        <f>Data!M9</f>
        <v>3636</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2</v>
      </c>
      <c r="V8" s="112">
        <f>IF(I8="","",IF(T8=Data!S$3,2,0))</f>
        <v>0</v>
      </c>
      <c r="W8" s="112">
        <f t="shared" si="11"/>
        <v>3</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34</v>
      </c>
      <c r="Y8" s="110">
        <f t="shared" si="4"/>
        <v>117</v>
      </c>
      <c r="Z8" s="110">
        <f t="shared" si="12"/>
        <v>3670</v>
      </c>
      <c r="AA8" s="113">
        <f t="shared" si="13"/>
        <v>117.036700087</v>
      </c>
      <c r="AB8" s="110">
        <f t="shared" si="16"/>
        <v>3</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34</v>
      </c>
      <c r="AF8" s="110">
        <f>IF(I8="","",IF(Q8="",0,IF(AND(Q8&gt;0,COUNTIF('Stats Calculator'!$T$24:$AA$24,Q8)=1),HLOOKUP(Q8,'Stats Calculator'!$T$24:$AA$27,4,FALSE),IF(AND(Q8&gt;0,COUNTIF('Stats Calculator'!$T$25:$AA$25,Q8)=1),HLOOKUP(Q8,'Stats Calculator'!$T$25:$AA$27,3,FALSE)))))</f>
        <v>1</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2</v>
      </c>
      <c r="AI8" s="110">
        <f>IF(I8="","",Data!S$3-COUNTA('Stats Calculator'!E$31:E$38))</f>
        <v>6</v>
      </c>
      <c r="AJ8" s="110">
        <f>IF(I8="","",IF(AF8=0,0,IF(VLOOKUP(AF8,'Stats Calculator'!B$31:E$38,4,FALSE)&gt;0,0,2)))</f>
        <v>0</v>
      </c>
      <c r="AK8" s="110">
        <f>IF(I8="","",IF(Data!S$3-Engine!AI8=AG8,2,0))</f>
        <v>2</v>
      </c>
      <c r="AL8" s="110">
        <f t="shared" si="14"/>
        <v>11</v>
      </c>
    </row>
    <row r="9" spans="1:38" x14ac:dyDescent="0.3">
      <c r="A9">
        <v>8</v>
      </c>
      <c r="B9">
        <f t="shared" si="0"/>
        <v>35</v>
      </c>
      <c r="C9" s="113">
        <f t="shared" si="8"/>
        <v>89.035160086000005</v>
      </c>
      <c r="D9">
        <f t="shared" si="1"/>
        <v>35</v>
      </c>
      <c r="E9" s="3" t="str">
        <f t="shared" si="9"/>
        <v>u</v>
      </c>
      <c r="F9" t="str">
        <f t="shared" si="10"/>
        <v/>
      </c>
      <c r="G9">
        <v>86</v>
      </c>
      <c r="H9" t="str">
        <f>Data!A10</f>
        <v>Big Moose</v>
      </c>
      <c r="I9" s="2" t="str">
        <f>Data!C10</f>
        <v>Knights</v>
      </c>
      <c r="J9" s="2" t="str">
        <f>Data!D10</f>
        <v>Broncos</v>
      </c>
      <c r="K9" s="2" t="str">
        <f>Data!E10</f>
        <v>Sea Eagles</v>
      </c>
      <c r="L9" s="2" t="str">
        <f>IF(Data!$S$3&lt;Engine!L$1,0,Data!F10)</f>
        <v>Storm</v>
      </c>
      <c r="M9" s="2" t="str">
        <f>IF(Data!$S$3&lt;Engine!M$1,0,Data!G10)</f>
        <v>Sharks</v>
      </c>
      <c r="N9" s="2" t="str">
        <f>IF(Data!$S$3&lt;Engine!N$1,0,Data!H10)</f>
        <v>Panthers</v>
      </c>
      <c r="O9" s="2" t="str">
        <f>IF(Data!$S$3&lt;Engine!O$1,0,Data!I10)</f>
        <v>Titans</v>
      </c>
      <c r="P9" s="2">
        <f>IF(Data!$S$3&lt;Engine!P$1,0,Data!J10)</f>
        <v>0</v>
      </c>
      <c r="Q9" s="12" t="str">
        <f>IF(Data!B10=1,Data!K10,"No Tips")</f>
        <v>Panthers</v>
      </c>
      <c r="R9" s="2">
        <f>Data!L10</f>
        <v>89</v>
      </c>
      <c r="S9" s="2">
        <f>Data!M10</f>
        <v>3516</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34</v>
      </c>
      <c r="Y9">
        <f t="shared" si="4"/>
        <v>90</v>
      </c>
      <c r="Z9">
        <f t="shared" si="12"/>
        <v>3550</v>
      </c>
      <c r="AA9" s="113">
        <f t="shared" si="13"/>
        <v>90.035500085999999</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34</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6</v>
      </c>
      <c r="AJ9">
        <f>IF(I9="","",IF(AF9=0,0,IF(VLOOKUP(AF9,'Stats Calculator'!B$31:E$38,4,FALSE)&gt;0,0,2)))</f>
        <v>2</v>
      </c>
      <c r="AK9">
        <f>IF(I9="","",IF(Data!S$3-Engine!AI9=AG9,2,0))</f>
        <v>2</v>
      </c>
      <c r="AL9">
        <f t="shared" si="14"/>
        <v>11</v>
      </c>
    </row>
    <row r="10" spans="1:38" x14ac:dyDescent="0.3">
      <c r="A10">
        <v>9</v>
      </c>
      <c r="B10">
        <f t="shared" si="0"/>
        <v>65</v>
      </c>
      <c r="C10" s="113">
        <f t="shared" si="8"/>
        <v>33.028210085000005</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f>IF(Data!$S$3&lt;Engine!P$1,0,Data!J11)</f>
        <v>0</v>
      </c>
      <c r="Q10" s="12" t="str">
        <f>IF(Data!B11=1,Data!K11,"No Tips")</f>
        <v>No Tips</v>
      </c>
      <c r="R10" s="2">
        <f>Data!L11</f>
        <v>33</v>
      </c>
      <c r="S10" s="2">
        <f>Data!M11</f>
        <v>2821</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-2</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Y10">
        <f t="shared" si="4"/>
        <v>31</v>
      </c>
      <c r="Z10">
        <f t="shared" si="12"/>
        <v>2839</v>
      </c>
      <c r="AA10" s="113">
        <f t="shared" si="13"/>
        <v>31.028390085000002</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60</v>
      </c>
      <c r="C11" s="113">
        <f t="shared" si="8"/>
        <v>71.032060084000008</v>
      </c>
      <c r="D11">
        <f t="shared" si="1"/>
        <v>60</v>
      </c>
      <c r="E11" s="3" t="str">
        <f t="shared" si="9"/>
        <v>u</v>
      </c>
      <c r="F11" t="str">
        <f t="shared" si="10"/>
        <v/>
      </c>
      <c r="G11">
        <v>84</v>
      </c>
      <c r="H11" t="str">
        <f>Data!A12</f>
        <v>BillyB</v>
      </c>
      <c r="I11" s="2" t="str">
        <f>Data!C12</f>
        <v>Knights</v>
      </c>
      <c r="J11" s="2" t="str">
        <f>Data!D12</f>
        <v>Broncos</v>
      </c>
      <c r="K11" s="2" t="str">
        <f>Data!E12</f>
        <v>Sea Eagles</v>
      </c>
      <c r="L11" s="2" t="str">
        <f>IF(Data!$S$3&lt;Engine!L$1,0,Data!F12)</f>
        <v>Storm</v>
      </c>
      <c r="M11" s="2" t="str">
        <f>IF(Data!$S$3&lt;Engine!M$1,0,Data!G12)</f>
        <v>Warriors</v>
      </c>
      <c r="N11" s="2" t="str">
        <f>IF(Data!$S$3&lt;Engine!N$1,0,Data!H12)</f>
        <v>Panthers</v>
      </c>
      <c r="O11" s="2" t="str">
        <f>IF(Data!$S$3&lt;Engine!O$1,0,Data!I12)</f>
        <v>Eels</v>
      </c>
      <c r="P11" s="2">
        <f>IF(Data!$S$3&lt;Engine!P$1,0,Data!J12)</f>
        <v>0</v>
      </c>
      <c r="Q11" s="12" t="str">
        <f>IF(Data!B12=1,Data!K12,"No Tips")</f>
        <v>Broncos</v>
      </c>
      <c r="R11" s="2">
        <f>Data!L12</f>
        <v>71</v>
      </c>
      <c r="S11" s="2">
        <f>Data!M12</f>
        <v>3206</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34</v>
      </c>
      <c r="Y11">
        <f t="shared" si="4"/>
        <v>72</v>
      </c>
      <c r="Z11">
        <f t="shared" si="12"/>
        <v>3240</v>
      </c>
      <c r="AA11" s="113">
        <f t="shared" si="13"/>
        <v>72.032400084000002</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34</v>
      </c>
      <c r="AF11">
        <f>IF(I11="","",IF(Q11="",0,IF(AND(Q11&gt;0,COUNTIF('Stats Calculator'!$T$24:$AA$24,Q11)=1),HLOOKUP(Q11,'Stats Calculator'!$T$24:$AA$27,4,FALSE),IF(AND(Q11&gt;0,COUNTIF('Stats Calculator'!$T$25:$AA$25,Q11)=1),HLOOKUP(Q11,'Stats Calculator'!$T$25:$AA$27,3,FALSE)))))</f>
        <v>2</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6</v>
      </c>
      <c r="AJ11">
        <f>IF(I11="","",IF(AF11=0,0,IF(VLOOKUP(AF11,'Stats Calculator'!B$31:E$38,4,FALSE)&gt;0,0,2)))</f>
        <v>2</v>
      </c>
      <c r="AK11">
        <f>IF(I11="","",IF(Data!S$3-Engine!AI11=AG11,2,0))</f>
        <v>2</v>
      </c>
      <c r="AL11">
        <f t="shared" si="14"/>
        <v>11</v>
      </c>
    </row>
    <row r="12" spans="1:38" x14ac:dyDescent="0.3">
      <c r="A12">
        <v>11</v>
      </c>
      <c r="B12">
        <f t="shared" si="0"/>
        <v>38</v>
      </c>
      <c r="C12" s="113">
        <f>IF(H12="ZZZZZZ Suspend","",R12+(S12/100000)+(G12/1000000000))</f>
        <v>86.034860082999998</v>
      </c>
      <c r="D12">
        <f t="shared" si="1"/>
        <v>38</v>
      </c>
      <c r="E12" s="3" t="str">
        <f t="shared" si="9"/>
        <v>u</v>
      </c>
      <c r="F12" t="str">
        <f t="shared" si="10"/>
        <v/>
      </c>
      <c r="G12">
        <v>83</v>
      </c>
      <c r="H12" t="str">
        <f>Data!A13</f>
        <v>blakey94</v>
      </c>
      <c r="I12" s="2" t="str">
        <f>Data!C13</f>
        <v>Knights</v>
      </c>
      <c r="J12" s="2" t="str">
        <f>Data!D13</f>
        <v>Broncos</v>
      </c>
      <c r="K12" s="2" t="str">
        <f>Data!E13</f>
        <v>Cowboys</v>
      </c>
      <c r="L12" s="2" t="str">
        <f>IF(Data!$S$3&lt;Engine!L$1,0,Data!F13)</f>
        <v>Storm</v>
      </c>
      <c r="M12" s="2" t="str">
        <f>IF(Data!$S$3&lt;Engine!M$1,0,Data!G13)</f>
        <v>Warriors</v>
      </c>
      <c r="N12" s="2" t="str">
        <f>IF(Data!$S$3&lt;Engine!N$1,0,Data!H13)</f>
        <v>Panthers</v>
      </c>
      <c r="O12" s="2" t="str">
        <f>IF(Data!$S$3&lt;Engine!O$1,0,Data!I13)</f>
        <v>Eels</v>
      </c>
      <c r="P12" s="2">
        <f>IF(Data!$S$3&lt;Engine!P$1,0,Data!J13)</f>
        <v>0</v>
      </c>
      <c r="Q12" s="12" t="str">
        <f>IF(Data!B13=1,Data!K13,"No Tips")</f>
        <v>Broncos</v>
      </c>
      <c r="R12" s="2">
        <f>Data!L13</f>
        <v>86</v>
      </c>
      <c r="S12" s="2">
        <f>Data!M13</f>
        <v>3486</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Y12">
        <f t="shared" si="4"/>
        <v>87</v>
      </c>
      <c r="Z12">
        <f t="shared" si="12"/>
        <v>3520</v>
      </c>
      <c r="AA12" s="113">
        <f t="shared" si="13"/>
        <v>87.035200083000007</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34</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2</v>
      </c>
      <c r="AL12">
        <f t="shared" si="14"/>
        <v>11</v>
      </c>
    </row>
    <row r="13" spans="1:38" x14ac:dyDescent="0.3">
      <c r="A13">
        <v>12</v>
      </c>
      <c r="B13">
        <f t="shared" si="0"/>
        <v>58</v>
      </c>
      <c r="C13" s="113">
        <f t="shared" si="8"/>
        <v>74.033500082000003</v>
      </c>
      <c r="D13">
        <f t="shared" si="1"/>
        <v>56</v>
      </c>
      <c r="E13" s="3" t="str">
        <f t="shared" si="9"/>
        <v>p</v>
      </c>
      <c r="F13">
        <f t="shared" si="10"/>
        <v>2</v>
      </c>
      <c r="G13">
        <v>82</v>
      </c>
      <c r="H13" t="str">
        <f>Data!A14</f>
        <v>Bridie</v>
      </c>
      <c r="I13" s="2" t="str">
        <f>Data!C14</f>
        <v>Knights</v>
      </c>
      <c r="J13" s="2" t="str">
        <f>Data!D14</f>
        <v>Broncos</v>
      </c>
      <c r="K13" s="2" t="str">
        <f>Data!E14</f>
        <v>Cowboys</v>
      </c>
      <c r="L13" s="2" t="str">
        <f>IF(Data!$S$3&lt;Engine!L$1,0,Data!F14)</f>
        <v>Storm</v>
      </c>
      <c r="M13" s="2" t="str">
        <f>IF(Data!$S$3&lt;Engine!M$1,0,Data!G14)</f>
        <v>Sharks</v>
      </c>
      <c r="N13" s="2" t="str">
        <f>IF(Data!$S$3&lt;Engine!N$1,0,Data!H14)</f>
        <v>Panthers</v>
      </c>
      <c r="O13" s="2" t="str">
        <f>IF(Data!$S$3&lt;Engine!O$1,0,Data!I14)</f>
        <v>Eels</v>
      </c>
      <c r="P13" s="2">
        <f>IF(Data!$S$3&lt;Engine!P$1,0,Data!J14)</f>
        <v>0</v>
      </c>
      <c r="Q13" s="12" t="str">
        <f>IF(Data!B14=1,Data!K14,"No Tips")</f>
        <v>Broncos</v>
      </c>
      <c r="R13" s="2">
        <f>Data!L14</f>
        <v>74</v>
      </c>
      <c r="S13" s="2">
        <f>Data!M14</f>
        <v>3350</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34</v>
      </c>
      <c r="Y13">
        <f t="shared" si="4"/>
        <v>75</v>
      </c>
      <c r="Z13">
        <f t="shared" si="12"/>
        <v>3384</v>
      </c>
      <c r="AA13" s="113">
        <f t="shared" si="13"/>
        <v>75.033840081999998</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34</v>
      </c>
      <c r="AF13">
        <f>IF(I13="","",IF(Q13="",0,IF(AND(Q13&gt;0,COUNTIF('Stats Calculator'!$T$24:$AA$24,Q13)=1),HLOOKUP(Q13,'Stats Calculator'!$T$24:$AA$27,4,FALSE),IF(AND(Q13&gt;0,COUNTIF('Stats Calculator'!$T$25:$AA$25,Q13)=1),HLOOKUP(Q13,'Stats Calculator'!$T$25:$AA$27,3,FALSE)))))</f>
        <v>2</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6</v>
      </c>
      <c r="AJ13">
        <f>IF(I13="","",IF(AF13=0,0,IF(VLOOKUP(AF13,'Stats Calculator'!B$31:E$38,4,FALSE)&gt;0,0,2)))</f>
        <v>2</v>
      </c>
      <c r="AK13">
        <f>IF(I13="","",IF(Data!S$3-Engine!AI13=AG13,2,0))</f>
        <v>2</v>
      </c>
      <c r="AL13">
        <f t="shared" si="14"/>
        <v>11</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f>IF(Data!$S$3&lt;Engine!P$1,0,Data!J15)</f>
        <v>0</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18</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5</v>
      </c>
      <c r="C15" s="113">
        <f t="shared" si="8"/>
        <v>112.03579008000001</v>
      </c>
      <c r="D15">
        <f t="shared" si="1"/>
        <v>5</v>
      </c>
      <c r="E15" s="3" t="str">
        <f t="shared" si="9"/>
        <v>u</v>
      </c>
      <c r="F15" t="str">
        <f t="shared" si="10"/>
        <v/>
      </c>
      <c r="G15">
        <v>80</v>
      </c>
      <c r="H15" t="str">
        <f>Data!A16</f>
        <v>Budgie</v>
      </c>
      <c r="I15" s="2" t="str">
        <f>Data!C16</f>
        <v>Knights</v>
      </c>
      <c r="J15" s="2" t="str">
        <f>Data!D16</f>
        <v>Broncos</v>
      </c>
      <c r="K15" s="2" t="str">
        <f>Data!E16</f>
        <v>Cowboys</v>
      </c>
      <c r="L15" s="2" t="str">
        <f>IF(Data!$S$3&lt;Engine!L$1,0,Data!F16)</f>
        <v>Storm</v>
      </c>
      <c r="M15" s="2" t="str">
        <f>IF(Data!$S$3&lt;Engine!M$1,0,Data!G16)</f>
        <v>Sharks</v>
      </c>
      <c r="N15" s="2" t="str">
        <f>IF(Data!$S$3&lt;Engine!N$1,0,Data!H16)</f>
        <v>Panthers</v>
      </c>
      <c r="O15" s="2" t="str">
        <f>IF(Data!$S$3&lt;Engine!O$1,0,Data!I16)</f>
        <v>Eels</v>
      </c>
      <c r="P15" s="2">
        <f>IF(Data!$S$3&lt;Engine!P$1,0,Data!J16)</f>
        <v>0</v>
      </c>
      <c r="Q15" s="12" t="str">
        <f>IF(Data!B16=1,Data!K16,"No Tips")</f>
        <v>Knights</v>
      </c>
      <c r="R15" s="2">
        <f>Data!L16</f>
        <v>112</v>
      </c>
      <c r="S15" s="2">
        <f>Data!M16</f>
        <v>3579</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2</v>
      </c>
      <c r="V15" s="1">
        <f>IF(I15="","",IF(T15=Data!S$3,2,0))</f>
        <v>0</v>
      </c>
      <c r="W15" s="1">
        <f t="shared" si="11"/>
        <v>3</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Y15">
        <f t="shared" si="4"/>
        <v>115</v>
      </c>
      <c r="Z15">
        <f t="shared" si="12"/>
        <v>3613</v>
      </c>
      <c r="AA15" s="113">
        <f t="shared" si="13"/>
        <v>115.03613008000001</v>
      </c>
      <c r="AB15">
        <f t="shared" si="16"/>
        <v>3</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34</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6</v>
      </c>
      <c r="AJ15">
        <f>IF(I15="","",IF(AF15=0,0,IF(VLOOKUP(AF15,'Stats Calculator'!B$31:E$38,4,FALSE)&gt;0,0,2)))</f>
        <v>0</v>
      </c>
      <c r="AK15">
        <f>IF(I15="","",IF(Data!S$3-Engine!AI15=AG15,2,0))</f>
        <v>2</v>
      </c>
      <c r="AL15">
        <f t="shared" si="14"/>
        <v>11</v>
      </c>
    </row>
    <row r="16" spans="1:38" x14ac:dyDescent="0.3">
      <c r="A16">
        <v>15</v>
      </c>
      <c r="B16">
        <f t="shared" si="0"/>
        <v>45</v>
      </c>
      <c r="C16" s="113">
        <f t="shared" si="8"/>
        <v>83.034100078999998</v>
      </c>
      <c r="D16">
        <f t="shared" si="1"/>
        <v>44</v>
      </c>
      <c r="E16" s="3" t="str">
        <f t="shared" si="9"/>
        <v>p</v>
      </c>
      <c r="F16">
        <f t="shared" si="10"/>
        <v>1</v>
      </c>
      <c r="G16">
        <v>79</v>
      </c>
      <c r="H16" t="str">
        <f>Data!A17</f>
        <v>Caline</v>
      </c>
      <c r="I16" s="2" t="str">
        <f>Data!C17</f>
        <v>Knights</v>
      </c>
      <c r="J16" s="2" t="str">
        <f>Data!D17</f>
        <v>Broncos</v>
      </c>
      <c r="K16" s="2" t="str">
        <f>Data!E17</f>
        <v>Cowboys</v>
      </c>
      <c r="L16" s="2" t="str">
        <f>IF(Data!$S$3&lt;Engine!L$1,0,Data!F17)</f>
        <v>Roosters</v>
      </c>
      <c r="M16" s="2" t="str">
        <f>IF(Data!$S$3&lt;Engine!M$1,0,Data!G17)</f>
        <v>Sharks</v>
      </c>
      <c r="N16" s="2" t="str">
        <f>IF(Data!$S$3&lt;Engine!N$1,0,Data!H17)</f>
        <v>Panthers</v>
      </c>
      <c r="O16" s="2" t="str">
        <f>IF(Data!$S$3&lt;Engine!O$1,0,Data!I17)</f>
        <v>Eels</v>
      </c>
      <c r="P16" s="2">
        <f>IF(Data!$S$3&lt;Engine!P$1,0,Data!J17)</f>
        <v>0</v>
      </c>
      <c r="Q16" s="12" t="str">
        <f>IF(Data!B17=1,Data!K17,"No Tips")</f>
        <v>Panthers</v>
      </c>
      <c r="R16" s="2">
        <f>Data!L17</f>
        <v>83</v>
      </c>
      <c r="S16" s="2">
        <f>Data!M17</f>
        <v>3410</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Y16">
        <f>IF(H16="ZZZZZZ Suspend","",R16+W16)</f>
        <v>84</v>
      </c>
      <c r="Z16">
        <f t="shared" si="12"/>
        <v>3444</v>
      </c>
      <c r="AA16" s="113">
        <f t="shared" si="13"/>
        <v>84.034440079000007</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34</v>
      </c>
      <c r="AF16">
        <f>IF(I16="","",IF(Q16="",0,IF(AND(Q16&gt;0,COUNTIF('Stats Calculator'!$T$24:$AA$24,Q16)=1),HLOOKUP(Q16,'Stats Calculator'!$T$24:$AA$27,4,FALSE),IF(AND(Q16&gt;0,COUNTIF('Stats Calculator'!$T$25:$AA$25,Q16)=1),HLOOKUP(Q16,'Stats Calculator'!$T$25:$AA$27,3,FALSE)))))</f>
        <v>6</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2</v>
      </c>
      <c r="AL16">
        <f t="shared" si="14"/>
        <v>11</v>
      </c>
    </row>
    <row r="17" spans="1:38" x14ac:dyDescent="0.3">
      <c r="A17">
        <v>16</v>
      </c>
      <c r="B17">
        <f t="shared" si="0"/>
        <v>17</v>
      </c>
      <c r="C17" s="113">
        <f t="shared" si="8"/>
        <v>100.034880078</v>
      </c>
      <c r="D17">
        <f t="shared" si="1"/>
        <v>18</v>
      </c>
      <c r="E17" s="3" t="str">
        <f t="shared" si="9"/>
        <v>q</v>
      </c>
      <c r="F17">
        <f t="shared" si="10"/>
        <v>1</v>
      </c>
      <c r="G17">
        <v>78</v>
      </c>
      <c r="H17" t="str">
        <f>Data!A18</f>
        <v>Carlos</v>
      </c>
      <c r="I17" s="2" t="str">
        <f>Data!C18</f>
        <v>Knights</v>
      </c>
      <c r="J17" s="2" t="str">
        <f>Data!D18</f>
        <v>Broncos</v>
      </c>
      <c r="K17" s="2" t="str">
        <f>Data!E18</f>
        <v>Sea Eagles</v>
      </c>
      <c r="L17" s="2" t="str">
        <f>IF(Data!$S$3&lt;Engine!L$1,0,Data!F18)</f>
        <v>Storm</v>
      </c>
      <c r="M17" s="2" t="str">
        <f>IF(Data!$S$3&lt;Engine!M$1,0,Data!G18)</f>
        <v>Sharks</v>
      </c>
      <c r="N17" s="2" t="str">
        <f>IF(Data!$S$3&lt;Engine!N$1,0,Data!H18)</f>
        <v>Panthers</v>
      </c>
      <c r="O17" s="2" t="str">
        <f>IF(Data!$S$3&lt;Engine!O$1,0,Data!I18)</f>
        <v>Eels</v>
      </c>
      <c r="P17" s="2">
        <f>IF(Data!$S$3&lt;Engine!P$1,0,Data!J18)</f>
        <v>0</v>
      </c>
      <c r="Q17" s="12" t="str">
        <f>IF(Data!B18=1,Data!K18,"No Tips")</f>
        <v>Broncos</v>
      </c>
      <c r="R17" s="2">
        <f>Data!L18</f>
        <v>100</v>
      </c>
      <c r="S17" s="2">
        <f>Data!M18</f>
        <v>3488</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34</v>
      </c>
      <c r="Y17">
        <f t="shared" ref="Y17:Y80" si="17">IF(H17="ZZZZZZ Suspend","",R17+W17)</f>
        <v>101</v>
      </c>
      <c r="Z17">
        <f t="shared" si="12"/>
        <v>3522</v>
      </c>
      <c r="AA17" s="113">
        <f t="shared" si="13"/>
        <v>101.03522007799999</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34</v>
      </c>
      <c r="AD17" s="11"/>
      <c r="AE17" s="11"/>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2</v>
      </c>
      <c r="AK17">
        <f>IF(I17="","",IF(Data!S$3-Engine!AI17=AG17,2,0))</f>
        <v>2</v>
      </c>
      <c r="AL17">
        <f t="shared" si="14"/>
        <v>11</v>
      </c>
    </row>
    <row r="18" spans="1:38" x14ac:dyDescent="0.3">
      <c r="A18">
        <v>17</v>
      </c>
      <c r="B18">
        <f t="shared" si="0"/>
        <v>29</v>
      </c>
      <c r="C18" s="113">
        <f t="shared" si="8"/>
        <v>94.035810076999994</v>
      </c>
      <c r="D18">
        <f t="shared" si="1"/>
        <v>26</v>
      </c>
      <c r="E18" s="3" t="str">
        <f t="shared" si="9"/>
        <v>p</v>
      </c>
      <c r="F18">
        <f t="shared" si="10"/>
        <v>3</v>
      </c>
      <c r="G18">
        <v>77</v>
      </c>
      <c r="H18" t="str">
        <f>Data!A19</f>
        <v>Chunka</v>
      </c>
      <c r="I18" s="2" t="str">
        <f>Data!C19</f>
        <v>Knights</v>
      </c>
      <c r="J18" s="2" t="str">
        <f>Data!D19</f>
        <v>Broncos</v>
      </c>
      <c r="K18" s="2" t="str">
        <f>Data!E19</f>
        <v>Sea Eagles</v>
      </c>
      <c r="L18" s="2" t="str">
        <f>IF(Data!$S$3&lt;Engine!L$1,0,Data!F19)</f>
        <v>Storm</v>
      </c>
      <c r="M18" s="2" t="str">
        <f>IF(Data!$S$3&lt;Engine!M$1,0,Data!G19)</f>
        <v>Sharks</v>
      </c>
      <c r="N18" s="2" t="str">
        <f>IF(Data!$S$3&lt;Engine!N$1,0,Data!H19)</f>
        <v>Panthers</v>
      </c>
      <c r="O18" s="2" t="str">
        <f>IF(Data!$S$3&lt;Engine!O$1,0,Data!I19)</f>
        <v>Titans</v>
      </c>
      <c r="P18" s="2">
        <f>IF(Data!$S$3&lt;Engine!P$1,0,Data!J19)</f>
        <v>0</v>
      </c>
      <c r="Q18" s="12" t="str">
        <f>IF(Data!B19=1,Data!K19,"No Tips")</f>
        <v>Knights</v>
      </c>
      <c r="R18" s="2">
        <f>Data!L19</f>
        <v>94</v>
      </c>
      <c r="S18" s="2">
        <f>Data!M19</f>
        <v>3581</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2</v>
      </c>
      <c r="V18" s="1">
        <f>IF(I18="","",IF(T18=Data!S$3,2,0))</f>
        <v>0</v>
      </c>
      <c r="W18" s="1">
        <f t="shared" si="11"/>
        <v>3</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Y18">
        <f t="shared" si="17"/>
        <v>97</v>
      </c>
      <c r="Z18">
        <f t="shared" si="12"/>
        <v>3615</v>
      </c>
      <c r="AA18" s="113">
        <f t="shared" si="13"/>
        <v>97.036150077000002</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34</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6</v>
      </c>
      <c r="AJ18">
        <f>IF(I18="","",IF(AF18=0,0,IF(VLOOKUP(AF18,'Stats Calculator'!B$31:E$38,4,FALSE)&gt;0,0,2)))</f>
        <v>0</v>
      </c>
      <c r="AK18">
        <f>IF(I18="","",IF(Data!S$3-Engine!AI18=AG18,2,0))</f>
        <v>2</v>
      </c>
      <c r="AL18">
        <f t="shared" si="14"/>
        <v>11</v>
      </c>
    </row>
    <row r="19" spans="1:38" x14ac:dyDescent="0.3">
      <c r="A19">
        <v>18</v>
      </c>
      <c r="B19">
        <f t="shared" si="0"/>
        <v>50</v>
      </c>
      <c r="C19" s="113">
        <f t="shared" si="8"/>
        <v>81.03238007600001</v>
      </c>
      <c r="D19">
        <f t="shared" si="1"/>
        <v>49</v>
      </c>
      <c r="E19" s="3" t="str">
        <f t="shared" si="9"/>
        <v>p</v>
      </c>
      <c r="F19">
        <f t="shared" si="10"/>
        <v>1</v>
      </c>
      <c r="G19">
        <v>76</v>
      </c>
      <c r="H19" t="str">
        <f>Data!A20</f>
        <v>Craig Young's Love Child</v>
      </c>
      <c r="I19" s="2" t="str">
        <f>Data!C20</f>
        <v>Knights</v>
      </c>
      <c r="J19" s="2" t="str">
        <f>Data!D20</f>
        <v>Broncos</v>
      </c>
      <c r="K19" s="2" t="str">
        <f>Data!E20</f>
        <v>Sea Eagles</v>
      </c>
      <c r="L19" s="2" t="str">
        <f>IF(Data!$S$3&lt;Engine!L$1,0,Data!F20)</f>
        <v>Storm</v>
      </c>
      <c r="M19" s="2" t="str">
        <f>IF(Data!$S$3&lt;Engine!M$1,0,Data!G20)</f>
        <v>Warriors</v>
      </c>
      <c r="N19" s="2" t="str">
        <f>IF(Data!$S$3&lt;Engine!N$1,0,Data!H20)</f>
        <v>Panthers</v>
      </c>
      <c r="O19" s="2" t="str">
        <f>IF(Data!$S$3&lt;Engine!O$1,0,Data!I20)</f>
        <v>Eels</v>
      </c>
      <c r="P19" s="2">
        <f>IF(Data!$S$3&lt;Engine!P$1,0,Data!J20)</f>
        <v>0</v>
      </c>
      <c r="Q19" s="12" t="str">
        <f>IF(Data!B20=1,Data!K20,"No Tips")</f>
        <v>Panthers</v>
      </c>
      <c r="R19" s="2">
        <f>Data!L20</f>
        <v>81</v>
      </c>
      <c r="S19" s="2">
        <f>Data!M20</f>
        <v>3238</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34</v>
      </c>
      <c r="Y19">
        <f t="shared" si="17"/>
        <v>82</v>
      </c>
      <c r="Z19">
        <f t="shared" si="12"/>
        <v>3272</v>
      </c>
      <c r="AA19" s="113">
        <f t="shared" si="13"/>
        <v>82.032720076000004</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34</v>
      </c>
      <c r="AF19">
        <f>IF(I19="","",IF(Q19="",0,IF(AND(Q19&gt;0,COUNTIF('Stats Calculator'!$T$24:$AA$24,Q19)=1),HLOOKUP(Q19,'Stats Calculator'!$T$24:$AA$27,4,FALSE),IF(AND(Q19&gt;0,COUNTIF('Stats Calculator'!$T$25:$AA$25,Q19)=1),HLOOKUP(Q19,'Stats Calculator'!$T$25:$AA$27,3,FALSE)))))</f>
        <v>6</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6</v>
      </c>
      <c r="AJ19">
        <f>IF(I19="","",IF(AF19=0,0,IF(VLOOKUP(AF19,'Stats Calculator'!B$31:E$38,4,FALSE)&gt;0,0,2)))</f>
        <v>2</v>
      </c>
      <c r="AK19">
        <f>IF(I19="","",IF(Data!S$3-Engine!AI19=AG19,2,0))</f>
        <v>2</v>
      </c>
      <c r="AL19">
        <f t="shared" si="14"/>
        <v>11</v>
      </c>
    </row>
    <row r="20" spans="1:38" x14ac:dyDescent="0.3">
      <c r="A20">
        <v>19</v>
      </c>
      <c r="B20">
        <f t="shared" si="0"/>
        <v>55</v>
      </c>
      <c r="C20" s="113">
        <f t="shared" si="8"/>
        <v>77.032900075000001</v>
      </c>
      <c r="D20">
        <f t="shared" si="1"/>
        <v>55</v>
      </c>
      <c r="E20" s="3" t="str">
        <f t="shared" si="9"/>
        <v>u</v>
      </c>
      <c r="F20" t="str">
        <f t="shared" si="10"/>
        <v/>
      </c>
      <c r="G20">
        <v>75</v>
      </c>
      <c r="H20" t="str">
        <f>Data!A21</f>
        <v>Cruella</v>
      </c>
      <c r="I20" s="2" t="str">
        <f>Data!C21</f>
        <v>Knights</v>
      </c>
      <c r="J20" s="2" t="str">
        <f>Data!D21</f>
        <v>Broncos</v>
      </c>
      <c r="K20" s="2" t="str">
        <f>Data!E21</f>
        <v>Sea Eagles</v>
      </c>
      <c r="L20" s="2" t="str">
        <f>IF(Data!$S$3&lt;Engine!L$1,0,Data!F21)</f>
        <v>Storm</v>
      </c>
      <c r="M20" s="2" t="str">
        <f>IF(Data!$S$3&lt;Engine!M$1,0,Data!G21)</f>
        <v>Warriors</v>
      </c>
      <c r="N20" s="2" t="str">
        <f>IF(Data!$S$3&lt;Engine!N$1,0,Data!H21)</f>
        <v>Panthers</v>
      </c>
      <c r="O20" s="2" t="str">
        <f>IF(Data!$S$3&lt;Engine!O$1,0,Data!I21)</f>
        <v>Titans</v>
      </c>
      <c r="P20" s="2">
        <f>IF(Data!$S$3&lt;Engine!P$1,0,Data!J21)</f>
        <v>0</v>
      </c>
      <c r="Q20" s="12" t="str">
        <f>IF(Data!B21=1,Data!K21,"No Tips")</f>
        <v>Panthers</v>
      </c>
      <c r="R20" s="2">
        <f>Data!L21</f>
        <v>77</v>
      </c>
      <c r="S20" s="2">
        <f>Data!M21</f>
        <v>3290</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Y20">
        <f t="shared" si="17"/>
        <v>78</v>
      </c>
      <c r="Z20">
        <f t="shared" si="12"/>
        <v>3324</v>
      </c>
      <c r="AA20" s="113">
        <f t="shared" si="13"/>
        <v>78.033240075000009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34</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2</v>
      </c>
      <c r="AL20">
        <f t="shared" si="14"/>
        <v>11</v>
      </c>
    </row>
    <row r="21" spans="1:38" x14ac:dyDescent="0.3">
      <c r="A21">
        <v>20</v>
      </c>
      <c r="B21">
        <f t="shared" si="0"/>
        <v>42</v>
      </c>
      <c r="C21" s="113">
        <f t="shared" si="8"/>
        <v>84.033540074000001</v>
      </c>
      <c r="D21">
        <f t="shared" si="1"/>
        <v>42</v>
      </c>
      <c r="E21" s="3" t="str">
        <f t="shared" si="9"/>
        <v>u</v>
      </c>
      <c r="F21" t="str">
        <f t="shared" si="10"/>
        <v/>
      </c>
      <c r="G21">
        <v>74</v>
      </c>
      <c r="H21" t="str">
        <f>Data!A22</f>
        <v>Danhux</v>
      </c>
      <c r="I21" s="2" t="str">
        <f>Data!C22</f>
        <v>Knights</v>
      </c>
      <c r="J21" s="2" t="str">
        <f>Data!D22</f>
        <v>Broncos</v>
      </c>
      <c r="K21" s="2" t="str">
        <f>Data!E22</f>
        <v>Sea Eagles</v>
      </c>
      <c r="L21" s="2" t="str">
        <f>IF(Data!$S$3&lt;Engine!L$1,0,Data!F22)</f>
        <v>Storm</v>
      </c>
      <c r="M21" s="2" t="str">
        <f>IF(Data!$S$3&lt;Engine!M$1,0,Data!G22)</f>
        <v>Warriors</v>
      </c>
      <c r="N21" s="2" t="str">
        <f>IF(Data!$S$3&lt;Engine!N$1,0,Data!H22)</f>
        <v>Panthers</v>
      </c>
      <c r="O21" s="2" t="str">
        <f>IF(Data!$S$3&lt;Engine!O$1,0,Data!I22)</f>
        <v>Eels</v>
      </c>
      <c r="P21" s="2">
        <f>IF(Data!$S$3&lt;Engine!P$1,0,Data!J22)</f>
        <v>0</v>
      </c>
      <c r="Q21" s="12" t="str">
        <f>IF(Data!B22=1,Data!K22,"No Tips")</f>
        <v>Panthers</v>
      </c>
      <c r="R21" s="2">
        <f>Data!L22</f>
        <v>84</v>
      </c>
      <c r="S21" s="2">
        <f>Data!M22</f>
        <v>3354</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34</v>
      </c>
      <c r="Y21">
        <f t="shared" si="17"/>
        <v>85</v>
      </c>
      <c r="Z21">
        <f t="shared" si="12"/>
        <v>3388</v>
      </c>
      <c r="AA21" s="113">
        <f t="shared" si="13"/>
        <v>85.033880073999995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34</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2</v>
      </c>
      <c r="AL21">
        <f t="shared" si="14"/>
        <v>11</v>
      </c>
    </row>
    <row r="22" spans="1:38" x14ac:dyDescent="0.3">
      <c r="A22">
        <v>21</v>
      </c>
      <c r="B22">
        <f t="shared" si="0"/>
        <v>9</v>
      </c>
      <c r="C22" s="113">
        <f t="shared" si="8"/>
        <v>110.03625007299999</v>
      </c>
      <c r="D22">
        <f t="shared" si="1"/>
        <v>9</v>
      </c>
      <c r="E22" s="3" t="str">
        <f t="shared" si="9"/>
        <v>u</v>
      </c>
      <c r="F22" t="str">
        <f t="shared" si="10"/>
        <v/>
      </c>
      <c r="G22">
        <v>73</v>
      </c>
      <c r="H22" t="str">
        <f>Data!A23</f>
        <v>DaveM</v>
      </c>
      <c r="I22" s="2" t="str">
        <f>Data!C23</f>
        <v>Knights</v>
      </c>
      <c r="J22" s="2" t="str">
        <f>Data!D23</f>
        <v>Broncos</v>
      </c>
      <c r="K22" s="2" t="str">
        <f>Data!E23</f>
        <v>Cowboys</v>
      </c>
      <c r="L22" s="2" t="str">
        <f>IF(Data!$S$3&lt;Engine!L$1,0,Data!F23)</f>
        <v>Storm</v>
      </c>
      <c r="M22" s="2" t="str">
        <f>IF(Data!$S$3&lt;Engine!M$1,0,Data!G23)</f>
        <v>Warriors</v>
      </c>
      <c r="N22" s="2" t="str">
        <f>IF(Data!$S$3&lt;Engine!N$1,0,Data!H23)</f>
        <v>Panthers</v>
      </c>
      <c r="O22" s="2" t="str">
        <f>IF(Data!$S$3&lt;Engine!O$1,0,Data!I23)</f>
        <v>Eels</v>
      </c>
      <c r="P22" s="2">
        <f>IF(Data!$S$3&lt;Engine!P$1,0,Data!J23)</f>
        <v>0</v>
      </c>
      <c r="Q22" s="12" t="str">
        <f>IF(Data!B23=1,Data!K23,"No Tips")</f>
        <v>Panthers</v>
      </c>
      <c r="R22" s="2">
        <f>Data!L23</f>
        <v>110</v>
      </c>
      <c r="S22" s="2">
        <f>Data!M23</f>
        <v>3625</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Y22">
        <f t="shared" si="17"/>
        <v>111</v>
      </c>
      <c r="Z22">
        <f t="shared" si="12"/>
        <v>3659</v>
      </c>
      <c r="AA22" s="113">
        <f t="shared" si="13"/>
        <v>111.036590073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34</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2</v>
      </c>
      <c r="AL22">
        <f t="shared" si="14"/>
        <v>11</v>
      </c>
    </row>
    <row r="23" spans="1:38" x14ac:dyDescent="0.3">
      <c r="A23">
        <v>22</v>
      </c>
      <c r="B23">
        <f t="shared" si="0"/>
        <v>63</v>
      </c>
      <c r="C23" s="113">
        <f t="shared" si="8"/>
        <v>39.028930072000001</v>
      </c>
      <c r="D23">
        <f t="shared" si="1"/>
        <v>63</v>
      </c>
      <c r="E23" s="3" t="str">
        <f t="shared" si="9"/>
        <v>u</v>
      </c>
      <c r="F23" t="str">
        <f t="shared" si="10"/>
        <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f>IF(Data!$S$3&lt;Engine!P$1,0,Data!J24)</f>
        <v>0</v>
      </c>
      <c r="Q23" s="12" t="str">
        <f>IF(Data!B24=1,Data!K24,"No Tips")</f>
        <v>No Tips</v>
      </c>
      <c r="R23" s="2">
        <f>Data!L24</f>
        <v>39</v>
      </c>
      <c r="S23" s="2">
        <f>Data!M24</f>
        <v>2893</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18</v>
      </c>
      <c r="Y23">
        <f t="shared" si="17"/>
        <v>37</v>
      </c>
      <c r="Z23">
        <f t="shared" si="12"/>
        <v>2911</v>
      </c>
      <c r="AA23" s="113">
        <f t="shared" si="13"/>
        <v>37.029110072000002</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30</v>
      </c>
      <c r="C24" s="113">
        <f t="shared" si="8"/>
        <v>92.035620070999997</v>
      </c>
      <c r="D24">
        <f t="shared" si="1"/>
        <v>31</v>
      </c>
      <c r="E24" s="3" t="str">
        <f t="shared" si="9"/>
        <v>q</v>
      </c>
      <c r="F24">
        <f t="shared" si="10"/>
        <v>1</v>
      </c>
      <c r="G24">
        <v>71</v>
      </c>
      <c r="H24" t="str">
        <f>Data!A25</f>
        <v>Fouad Khochaiche</v>
      </c>
      <c r="I24" s="2" t="str">
        <f>Data!C25</f>
        <v>Knights</v>
      </c>
      <c r="J24" s="2" t="str">
        <f>Data!D25</f>
        <v>Broncos</v>
      </c>
      <c r="K24" s="2" t="str">
        <f>Data!E25</f>
        <v>Cowboys</v>
      </c>
      <c r="L24" s="2" t="str">
        <f>IF(Data!$S$3&lt;Engine!L$1,0,Data!F25)</f>
        <v>Storm</v>
      </c>
      <c r="M24" s="2" t="str">
        <f>IF(Data!$S$3&lt;Engine!M$1,0,Data!G25)</f>
        <v>Sharks</v>
      </c>
      <c r="N24" s="2" t="str">
        <f>IF(Data!$S$3&lt;Engine!N$1,0,Data!H25)</f>
        <v>Panthers</v>
      </c>
      <c r="O24" s="2" t="str">
        <f>IF(Data!$S$3&lt;Engine!O$1,0,Data!I25)</f>
        <v>Eels</v>
      </c>
      <c r="P24" s="2">
        <f>IF(Data!$S$3&lt;Engine!P$1,0,Data!J25)</f>
        <v>0</v>
      </c>
      <c r="Q24" s="12" t="str">
        <f>IF(Data!B25=1,Data!K25,"No Tips")</f>
        <v>Panthers</v>
      </c>
      <c r="R24" s="2">
        <f>Data!L25</f>
        <v>92</v>
      </c>
      <c r="S24" s="2">
        <f>Data!M25</f>
        <v>3562</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34</v>
      </c>
      <c r="Y24">
        <f t="shared" si="17"/>
        <v>93</v>
      </c>
      <c r="Z24">
        <f t="shared" si="12"/>
        <v>3596</v>
      </c>
      <c r="AA24" s="113">
        <f t="shared" si="13"/>
        <v>93.035960071000005</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34</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2</v>
      </c>
      <c r="AL24">
        <f t="shared" si="14"/>
        <v>11</v>
      </c>
    </row>
    <row r="25" spans="1:38" x14ac:dyDescent="0.3">
      <c r="A25">
        <v>24</v>
      </c>
      <c r="B25">
        <f t="shared" si="0"/>
        <v>24</v>
      </c>
      <c r="C25" s="113">
        <f t="shared" si="8"/>
        <v>97.03506007</v>
      </c>
      <c r="D25">
        <f t="shared" si="1"/>
        <v>21</v>
      </c>
      <c r="E25" s="3" t="str">
        <f t="shared" si="9"/>
        <v>p</v>
      </c>
      <c r="F25">
        <f t="shared" si="10"/>
        <v>3</v>
      </c>
      <c r="G25">
        <v>70</v>
      </c>
      <c r="H25" t="str">
        <f>Data!A26</f>
        <v>gdadisho</v>
      </c>
      <c r="I25" s="2" t="str">
        <f>Data!C26</f>
        <v>Knights</v>
      </c>
      <c r="J25" s="2" t="str">
        <f>Data!D26</f>
        <v>Broncos</v>
      </c>
      <c r="K25" s="2" t="str">
        <f>Data!E26</f>
        <v>Cowboys</v>
      </c>
      <c r="L25" s="2" t="str">
        <f>IF(Data!$S$3&lt;Engine!L$1,0,Data!F26)</f>
        <v>Storm</v>
      </c>
      <c r="M25" s="2" t="str">
        <f>IF(Data!$S$3&lt;Engine!M$1,0,Data!G26)</f>
        <v>Warriors</v>
      </c>
      <c r="N25" s="2" t="str">
        <f>IF(Data!$S$3&lt;Engine!N$1,0,Data!H26)</f>
        <v>Panthers</v>
      </c>
      <c r="O25" s="2" t="str">
        <f>IF(Data!$S$3&lt;Engine!O$1,0,Data!I26)</f>
        <v>Eels</v>
      </c>
      <c r="P25" s="2">
        <f>IF(Data!$S$3&lt;Engine!P$1,0,Data!J26)</f>
        <v>0</v>
      </c>
      <c r="Q25" s="12" t="str">
        <f>IF(Data!B26=1,Data!K26,"No Tips")</f>
        <v>Knights</v>
      </c>
      <c r="R25" s="2">
        <f>Data!L26</f>
        <v>97</v>
      </c>
      <c r="S25" s="2">
        <f>Data!M26</f>
        <v>3506</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2</v>
      </c>
      <c r="V25" s="1">
        <f>IF(I25="","",IF(T25=Data!S$3,2,0))</f>
        <v>0</v>
      </c>
      <c r="W25" s="1">
        <f t="shared" si="11"/>
        <v>3</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34</v>
      </c>
      <c r="Y25">
        <f t="shared" si="17"/>
        <v>100</v>
      </c>
      <c r="Z25">
        <f t="shared" si="12"/>
        <v>3540</v>
      </c>
      <c r="AA25" s="113">
        <f t="shared" si="13"/>
        <v>100.03540006999999</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34</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6</v>
      </c>
      <c r="AJ25">
        <f>IF(I25="","",IF(AF25=0,0,IF(VLOOKUP(AF25,'Stats Calculator'!B$31:E$38,4,FALSE)&gt;0,0,2)))</f>
        <v>0</v>
      </c>
      <c r="AK25">
        <f>IF(I25="","",IF(Data!S$3-Engine!AI25=AG25,2,0))</f>
        <v>2</v>
      </c>
      <c r="AL25">
        <f t="shared" si="14"/>
        <v>11</v>
      </c>
    </row>
    <row r="26" spans="1:38" x14ac:dyDescent="0.3">
      <c r="A26">
        <v>25</v>
      </c>
      <c r="B26">
        <f t="shared" si="0"/>
        <v>62</v>
      </c>
      <c r="C26" s="113">
        <f t="shared" si="8"/>
        <v>54.029430069</v>
      </c>
      <c r="D26">
        <f t="shared" si="1"/>
        <v>62</v>
      </c>
      <c r="E26" s="3" t="str">
        <f t="shared" si="9"/>
        <v>u</v>
      </c>
      <c r="F26" t="str">
        <f t="shared" si="10"/>
        <v/>
      </c>
      <c r="G26">
        <v>69</v>
      </c>
      <c r="H26" t="str">
        <f>Data!A27</f>
        <v>GreenMachine</v>
      </c>
      <c r="I26" s="2" t="str">
        <f>Data!C27</f>
        <v/>
      </c>
      <c r="J26" s="2" t="str">
        <f>Data!D27</f>
        <v/>
      </c>
      <c r="K26" s="2" t="str">
        <f>Data!E27</f>
        <v/>
      </c>
      <c r="L26" s="2" t="str">
        <f>IF(Data!$S$3&lt;Engine!L$1,0,Data!F27)</f>
        <v/>
      </c>
      <c r="M26" s="2" t="str">
        <f>IF(Data!$S$3&lt;Engine!M$1,0,Data!G27)</f>
        <v/>
      </c>
      <c r="N26" s="2" t="str">
        <f>IF(Data!$S$3&lt;Engine!N$1,0,Data!H27)</f>
        <v/>
      </c>
      <c r="O26" s="2" t="str">
        <f>IF(Data!$S$3&lt;Engine!O$1,0,Data!I27)</f>
        <v/>
      </c>
      <c r="P26" s="2">
        <f>IF(Data!$S$3&lt;Engine!P$1,0,Data!J27)</f>
        <v>0</v>
      </c>
      <c r="Q26" s="12" t="str">
        <f>IF(Data!B27=1,Data!K27,"No Tips")</f>
        <v>No Tips</v>
      </c>
      <c r="R26" s="2">
        <f>Data!L27</f>
        <v>54</v>
      </c>
      <c r="S26" s="2">
        <f>Data!M27</f>
        <v>2943</v>
      </c>
      <c r="T26" s="1" t="str">
        <f>IF(I26="","",COUNTIF('Live Ladder'!P:P,I26)+COUNTIF('Live Ladder'!P:P,J26)+COUNTIF('Live Ladder'!P:P,K26)+COUNTIF('Live Ladder'!P:P,L26)+COUNTIF('Live Ladder'!P:P,M26)+COUNTIF('Live Ladder'!P:P,N26)+COUNTIF('Live Ladder'!P:P,O26)+COUNTIF('Live Ladder'!P:P,P26))</f>
        <v/>
      </c>
      <c r="U26" s="1" t="str">
        <f>IF(I26="","",IF(COUNTIF('Live Ladder'!P:P,Engine!Q26)=1,2,IF(COUNTIF('Live Ladder'!Q:Q,Engine!Q26)=1,-2,0)))</f>
        <v/>
      </c>
      <c r="V26" s="1" t="str">
        <f>IF(I26="","",IF(T26=Data!S$3,2,0))</f>
        <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18</v>
      </c>
      <c r="Y26">
        <f t="shared" si="17"/>
        <v>52</v>
      </c>
      <c r="Z26">
        <f t="shared" si="12"/>
        <v>2961</v>
      </c>
      <c r="AA26" s="113">
        <f t="shared" si="13"/>
        <v>52.029610069</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4</v>
      </c>
      <c r="C27" s="113">
        <f t="shared" si="8"/>
        <v>113.03641006800001</v>
      </c>
      <c r="D27">
        <f t="shared" si="1"/>
        <v>3</v>
      </c>
      <c r="E27" s="3" t="str">
        <f t="shared" si="9"/>
        <v>p</v>
      </c>
      <c r="F27">
        <f t="shared" si="10"/>
        <v>1</v>
      </c>
      <c r="G27">
        <v>68</v>
      </c>
      <c r="H27" t="str">
        <f>Data!A28</f>
        <v>Guru2810</v>
      </c>
      <c r="I27" s="2" t="str">
        <f>Data!C28</f>
        <v>Knights</v>
      </c>
      <c r="J27" s="2" t="str">
        <f>Data!D28</f>
        <v>Broncos</v>
      </c>
      <c r="K27" s="2" t="str">
        <f>Data!E28</f>
        <v>Cowboys</v>
      </c>
      <c r="L27" s="2" t="str">
        <f>IF(Data!$S$3&lt;Engine!L$1,0,Data!F28)</f>
        <v>Storm</v>
      </c>
      <c r="M27" s="2" t="str">
        <f>IF(Data!$S$3&lt;Engine!M$1,0,Data!G28)</f>
        <v>Sharks</v>
      </c>
      <c r="N27" s="2" t="str">
        <f>IF(Data!$S$3&lt;Engine!N$1,0,Data!H28)</f>
        <v>Panthers</v>
      </c>
      <c r="O27" s="2" t="str">
        <f>IF(Data!$S$3&lt;Engine!O$1,0,Data!I28)</f>
        <v>Eels</v>
      </c>
      <c r="P27" s="2">
        <f>IF(Data!$S$3&lt;Engine!P$1,0,Data!J28)</f>
        <v>0</v>
      </c>
      <c r="Q27" s="12" t="str">
        <f>IF(Data!B28=1,Data!K28,"No Tips")</f>
        <v>Knights</v>
      </c>
      <c r="R27" s="2">
        <f>Data!L28</f>
        <v>113</v>
      </c>
      <c r="S27" s="2">
        <f>Data!M28</f>
        <v>3641</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2</v>
      </c>
      <c r="V27" s="1">
        <f>IF(I27="","",IF(T27=Data!S$3,2,0))</f>
        <v>0</v>
      </c>
      <c r="W27" s="1">
        <f t="shared" si="11"/>
        <v>3</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34</v>
      </c>
      <c r="Y27">
        <f t="shared" si="17"/>
        <v>116</v>
      </c>
      <c r="Z27">
        <f t="shared" si="12"/>
        <v>3675</v>
      </c>
      <c r="AA27" s="113">
        <f t="shared" si="13"/>
        <v>116.036750068</v>
      </c>
      <c r="AB27">
        <f t="shared" si="16"/>
        <v>3</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34</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6</v>
      </c>
      <c r="AJ27">
        <f>IF(I27="","",IF(AF27=0,0,IF(VLOOKUP(AF27,'Stats Calculator'!B$31:E$38,4,FALSE)&gt;0,0,2)))</f>
        <v>0</v>
      </c>
      <c r="AK27">
        <f>IF(I27="","",IF(Data!S$3-Engine!AI27=AG27,2,0))</f>
        <v>2</v>
      </c>
      <c r="AL27">
        <f t="shared" si="14"/>
        <v>11</v>
      </c>
    </row>
    <row r="28" spans="1:38" x14ac:dyDescent="0.3">
      <c r="A28">
        <v>27</v>
      </c>
      <c r="B28">
        <f t="shared" si="0"/>
        <v>52</v>
      </c>
      <c r="C28" s="113">
        <f t="shared" si="8"/>
        <v>80.033380066999996</v>
      </c>
      <c r="D28">
        <f t="shared" si="1"/>
        <v>51</v>
      </c>
      <c r="E28" s="3" t="str">
        <f t="shared" si="9"/>
        <v>p</v>
      </c>
      <c r="F28">
        <f t="shared" si="10"/>
        <v>1</v>
      </c>
      <c r="G28">
        <v>67</v>
      </c>
      <c r="H28" t="str">
        <f>Data!A29</f>
        <v>HeyRobuphere</v>
      </c>
      <c r="I28" s="2" t="str">
        <f>Data!C29</f>
        <v>Knights</v>
      </c>
      <c r="J28" s="2" t="str">
        <f>Data!D29</f>
        <v>Broncos</v>
      </c>
      <c r="K28" s="2" t="str">
        <f>Data!E29</f>
        <v>Cowboys</v>
      </c>
      <c r="L28" s="2" t="str">
        <f>IF(Data!$S$3&lt;Engine!L$1,0,Data!F29)</f>
        <v>Roosters</v>
      </c>
      <c r="M28" s="2" t="str">
        <f>IF(Data!$S$3&lt;Engine!M$1,0,Data!G29)</f>
        <v>Warriors</v>
      </c>
      <c r="N28" s="2" t="str">
        <f>IF(Data!$S$3&lt;Engine!N$1,0,Data!H29)</f>
        <v>Panthers</v>
      </c>
      <c r="O28" s="2" t="str">
        <f>IF(Data!$S$3&lt;Engine!O$1,0,Data!I29)</f>
        <v>Eels</v>
      </c>
      <c r="P28" s="2">
        <f>IF(Data!$S$3&lt;Engine!P$1,0,Data!J29)</f>
        <v>0</v>
      </c>
      <c r="Q28" s="12" t="str">
        <f>IF(Data!B29=1,Data!K29,"No Tips")</f>
        <v>Panthers</v>
      </c>
      <c r="R28" s="2">
        <f>Data!L29</f>
        <v>80</v>
      </c>
      <c r="S28" s="2">
        <f>Data!M29</f>
        <v>3338</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Y28">
        <f t="shared" si="17"/>
        <v>81</v>
      </c>
      <c r="Z28">
        <f t="shared" si="12"/>
        <v>3372</v>
      </c>
      <c r="AA28" s="113">
        <f t="shared" si="13"/>
        <v>81.033720067000004</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34</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2</v>
      </c>
      <c r="AL28">
        <f t="shared" si="14"/>
        <v>11</v>
      </c>
    </row>
    <row r="29" spans="1:38" x14ac:dyDescent="0.3">
      <c r="A29">
        <v>28</v>
      </c>
      <c r="B29">
        <f t="shared" si="0"/>
        <v>2</v>
      </c>
      <c r="C29" s="113">
        <f t="shared" si="8"/>
        <v>114.036210066</v>
      </c>
      <c r="D29">
        <f t="shared" si="1"/>
        <v>2</v>
      </c>
      <c r="E29" s="3" t="str">
        <f t="shared" si="9"/>
        <v>u</v>
      </c>
      <c r="F29" t="str">
        <f t="shared" si="10"/>
        <v/>
      </c>
      <c r="G29">
        <v>66</v>
      </c>
      <c r="H29" t="str">
        <f>Data!A30</f>
        <v>I miss Benji</v>
      </c>
      <c r="I29" s="2" t="str">
        <f>Data!C30</f>
        <v>Knights</v>
      </c>
      <c r="J29" s="2" t="str">
        <f>Data!D30</f>
        <v>Broncos</v>
      </c>
      <c r="K29" s="2" t="str">
        <f>Data!E30</f>
        <v>Cowboys</v>
      </c>
      <c r="L29" s="2" t="str">
        <f>IF(Data!$S$3&lt;Engine!L$1,0,Data!F30)</f>
        <v>Storm</v>
      </c>
      <c r="M29" s="2" t="str">
        <f>IF(Data!$S$3&lt;Engine!M$1,0,Data!G30)</f>
        <v>Warriors</v>
      </c>
      <c r="N29" s="2" t="str">
        <f>IF(Data!$S$3&lt;Engine!N$1,0,Data!H30)</f>
        <v>Panthers</v>
      </c>
      <c r="O29" s="2" t="str">
        <f>IF(Data!$S$3&lt;Engine!O$1,0,Data!I30)</f>
        <v>Eels</v>
      </c>
      <c r="P29" s="2">
        <f>IF(Data!$S$3&lt;Engine!P$1,0,Data!J30)</f>
        <v>0</v>
      </c>
      <c r="Q29" s="12" t="str">
        <f>IF(Data!B30=1,Data!K30,"No Tips")</f>
        <v>Knights</v>
      </c>
      <c r="R29" s="2">
        <f>Data!L30</f>
        <v>114</v>
      </c>
      <c r="S29" s="2">
        <f>Data!M30</f>
        <v>3621</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2</v>
      </c>
      <c r="V29" s="1">
        <f>IF(I29="","",IF(T29=Data!S$3,2,0))</f>
        <v>0</v>
      </c>
      <c r="W29" s="1">
        <f t="shared" si="11"/>
        <v>3</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Y29">
        <f t="shared" si="17"/>
        <v>117</v>
      </c>
      <c r="Z29">
        <f t="shared" si="12"/>
        <v>3655</v>
      </c>
      <c r="AA29" s="113">
        <f t="shared" si="13"/>
        <v>117.036550066</v>
      </c>
      <c r="AB29">
        <f t="shared" si="16"/>
        <v>3</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34</v>
      </c>
      <c r="AF29">
        <f>IF(I29="","",IF(Q29="",0,IF(AND(Q29&gt;0,COUNTIF('Stats Calculator'!$T$24:$AA$24,Q29)=1),HLOOKUP(Q29,'Stats Calculator'!$T$24:$AA$27,4,FALSE),IF(AND(Q29&gt;0,COUNTIF('Stats Calculator'!$T$25:$AA$25,Q29)=1),HLOOKUP(Q29,'Stats Calculator'!$T$25:$AA$27,3,FALSE)))))</f>
        <v>1</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2</v>
      </c>
      <c r="AI29">
        <f>IF(I29="","",Data!S$3-COUNTA('Stats Calculator'!E$31:E$38))</f>
        <v>6</v>
      </c>
      <c r="AJ29">
        <f>IF(I29="","",IF(AF29=0,0,IF(VLOOKUP(AF29,'Stats Calculator'!B$31:E$38,4,FALSE)&gt;0,0,2)))</f>
        <v>0</v>
      </c>
      <c r="AK29">
        <f>IF(I29="","",IF(Data!S$3-Engine!AI29=AG29,2,0))</f>
        <v>2</v>
      </c>
      <c r="AL29">
        <f t="shared" si="14"/>
        <v>11</v>
      </c>
    </row>
    <row r="30" spans="1:38" x14ac:dyDescent="0.3">
      <c r="A30">
        <v>29</v>
      </c>
      <c r="B30">
        <f t="shared" si="0"/>
        <v>21</v>
      </c>
      <c r="C30" s="113">
        <f t="shared" si="8"/>
        <v>98.035150064999996</v>
      </c>
      <c r="D30">
        <f t="shared" si="1"/>
        <v>17</v>
      </c>
      <c r="E30" s="3" t="str">
        <f t="shared" si="9"/>
        <v>p</v>
      </c>
      <c r="F30">
        <f t="shared" si="10"/>
        <v>4</v>
      </c>
      <c r="G30">
        <v>65</v>
      </c>
      <c r="H30" t="str">
        <f>Data!A31</f>
        <v>Ian from Dublin</v>
      </c>
      <c r="I30" s="2" t="str">
        <f>Data!C31</f>
        <v>Knights</v>
      </c>
      <c r="J30" s="2" t="str">
        <f>Data!D31</f>
        <v>Bulldogs</v>
      </c>
      <c r="K30" s="2" t="str">
        <f>Data!E31</f>
        <v>Cowboys</v>
      </c>
      <c r="L30" s="2" t="str">
        <f>IF(Data!$S$3&lt;Engine!L$1,0,Data!F31)</f>
        <v>Storm</v>
      </c>
      <c r="M30" s="2" t="str">
        <f>IF(Data!$S$3&lt;Engine!M$1,0,Data!G31)</f>
        <v>Warriors</v>
      </c>
      <c r="N30" s="2" t="str">
        <f>IF(Data!$S$3&lt;Engine!N$1,0,Data!H31)</f>
        <v>Panthers</v>
      </c>
      <c r="O30" s="2" t="str">
        <f>IF(Data!$S$3&lt;Engine!O$1,0,Data!I31)</f>
        <v>Eels</v>
      </c>
      <c r="P30" s="2">
        <f>IF(Data!$S$3&lt;Engine!P$1,0,Data!J31)</f>
        <v>0</v>
      </c>
      <c r="Q30" s="12" t="str">
        <f>IF(Data!B31=1,Data!K31,"No Tips")</f>
        <v>Knights</v>
      </c>
      <c r="R30" s="2">
        <f>Data!L31</f>
        <v>98</v>
      </c>
      <c r="S30" s="2">
        <f>Data!M31</f>
        <v>3515</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2</v>
      </c>
      <c r="V30" s="1">
        <f>IF(I30="","",IF(T30=Data!S$3,2,0))</f>
        <v>0</v>
      </c>
      <c r="W30" s="1">
        <f t="shared" si="11"/>
        <v>3</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34</v>
      </c>
      <c r="Y30">
        <f t="shared" si="17"/>
        <v>101</v>
      </c>
      <c r="Z30">
        <f t="shared" si="12"/>
        <v>3549</v>
      </c>
      <c r="AA30" s="113">
        <f t="shared" si="13"/>
        <v>101.03549006499999</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34</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6</v>
      </c>
      <c r="AJ30">
        <f>IF(I30="","",IF(AF30=0,0,IF(VLOOKUP(AF30,'Stats Calculator'!B$31:E$38,4,FALSE)&gt;0,0,2)))</f>
        <v>0</v>
      </c>
      <c r="AK30">
        <f>IF(I30="","",IF(Data!S$3-Engine!AI30=AG30,2,0))</f>
        <v>2</v>
      </c>
      <c r="AL30">
        <f t="shared" si="14"/>
        <v>11</v>
      </c>
    </row>
    <row r="31" spans="1:38" s="11" customFormat="1" x14ac:dyDescent="0.3">
      <c r="A31">
        <v>30</v>
      </c>
      <c r="B31">
        <f t="shared" si="0"/>
        <v>61</v>
      </c>
      <c r="C31" s="113">
        <f t="shared" si="8"/>
        <v>68.031480064000007</v>
      </c>
      <c r="D31">
        <f t="shared" si="1"/>
        <v>61</v>
      </c>
      <c r="E31" s="3" t="str">
        <f t="shared" si="9"/>
        <v>u</v>
      </c>
      <c r="F31" t="str">
        <f t="shared" si="10"/>
        <v/>
      </c>
      <c r="G31">
        <v>64</v>
      </c>
      <c r="H31" t="str">
        <f>Data!A32</f>
        <v>isha68</v>
      </c>
      <c r="I31" s="2" t="str">
        <f>Data!C32</f>
        <v>Wests Tigers</v>
      </c>
      <c r="J31" s="2" t="str">
        <f>Data!D32</f>
        <v>Broncos</v>
      </c>
      <c r="K31" s="2" t="str">
        <f>Data!E32</f>
        <v>Sea Eagles</v>
      </c>
      <c r="L31" s="2" t="str">
        <f>IF(Data!$S$3&lt;Engine!L$1,0,Data!F32)</f>
        <v>Roosters</v>
      </c>
      <c r="M31" s="2" t="str">
        <f>IF(Data!$S$3&lt;Engine!M$1,0,Data!G32)</f>
        <v>Sharks</v>
      </c>
      <c r="N31" s="2" t="str">
        <f>IF(Data!$S$3&lt;Engine!N$1,0,Data!H32)</f>
        <v>Panthers</v>
      </c>
      <c r="O31" s="2" t="str">
        <f>IF(Data!$S$3&lt;Engine!O$1,0,Data!I32)</f>
        <v>Eels</v>
      </c>
      <c r="P31" s="2">
        <f>IF(Data!$S$3&lt;Engine!P$1,0,Data!J32)</f>
        <v>0</v>
      </c>
      <c r="Q31" s="12" t="str">
        <f>IF(Data!B32=1,Data!K32,"No Tips")</f>
        <v>Wests Tigers</v>
      </c>
      <c r="R31" s="2">
        <f>Data!L32</f>
        <v>68</v>
      </c>
      <c r="S31" s="2">
        <f>Data!M32</f>
        <v>3148</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-2</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18</v>
      </c>
      <c r="Y31">
        <f t="shared" si="17"/>
        <v>66</v>
      </c>
      <c r="Z31">
        <f t="shared" si="12"/>
        <v>3166</v>
      </c>
      <c r="AA31" s="113">
        <f t="shared" si="13"/>
        <v>66.031660064000008</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18</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-2</v>
      </c>
      <c r="AI31">
        <f>IF(I31="","",Data!S$3-COUNTA('Stats Calculator'!E$31:E$38))</f>
        <v>6</v>
      </c>
      <c r="AJ31">
        <f>IF(I31="","",IF(AF31=0,0,IF(VLOOKUP(AF31,'Stats Calculator'!B$31:E$38,4,FALSE)&gt;0,0,2)))</f>
        <v>0</v>
      </c>
      <c r="AK31">
        <f>IF(I31="","",IF(Data!S$3-Engine!AI31=AG31,2,0))</f>
        <v>0</v>
      </c>
      <c r="AL31">
        <f t="shared" si="14"/>
        <v>4</v>
      </c>
    </row>
    <row r="32" spans="1:38" x14ac:dyDescent="0.3">
      <c r="A32">
        <v>31</v>
      </c>
      <c r="B32">
        <f t="shared" si="0"/>
        <v>54</v>
      </c>
      <c r="C32" s="113">
        <f t="shared" si="8"/>
        <v>77.033850063000003</v>
      </c>
      <c r="D32">
        <f t="shared" si="1"/>
        <v>54</v>
      </c>
      <c r="E32" s="3" t="str">
        <f t="shared" si="9"/>
        <v>u</v>
      </c>
      <c r="F32" t="str">
        <f t="shared" si="10"/>
        <v/>
      </c>
      <c r="G32">
        <v>63</v>
      </c>
      <c r="H32" t="str">
        <f>Data!A33</f>
        <v>iTerry</v>
      </c>
      <c r="I32" s="2" t="str">
        <f>Data!C33</f>
        <v>Knights</v>
      </c>
      <c r="J32" s="2" t="str">
        <f>Data!D33</f>
        <v>Broncos</v>
      </c>
      <c r="K32" s="2" t="str">
        <f>Data!E33</f>
        <v>Sea Eagles</v>
      </c>
      <c r="L32" s="2" t="str">
        <f>IF(Data!$S$3&lt;Engine!L$1,0,Data!F33)</f>
        <v>Roosters</v>
      </c>
      <c r="M32" s="2" t="str">
        <f>IF(Data!$S$3&lt;Engine!M$1,0,Data!G33)</f>
        <v>Warriors</v>
      </c>
      <c r="N32" s="2" t="str">
        <f>IF(Data!$S$3&lt;Engine!N$1,0,Data!H33)</f>
        <v>Dolphins</v>
      </c>
      <c r="O32" s="2" t="str">
        <f>IF(Data!$S$3&lt;Engine!O$1,0,Data!I33)</f>
        <v>Eels</v>
      </c>
      <c r="P32" s="2">
        <f>IF(Data!$S$3&lt;Engine!P$1,0,Data!J33)</f>
        <v>0</v>
      </c>
      <c r="Q32" s="12" t="str">
        <f>IF(Data!B33=1,Data!K33,"No Tips")</f>
        <v>Broncos</v>
      </c>
      <c r="R32" s="2">
        <f>Data!L33</f>
        <v>77</v>
      </c>
      <c r="S32" s="2">
        <f>Data!M33</f>
        <v>3385</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Y32">
        <f t="shared" si="17"/>
        <v>78</v>
      </c>
      <c r="Z32">
        <f t="shared" si="12"/>
        <v>3419</v>
      </c>
      <c r="AA32" s="113">
        <f t="shared" si="13"/>
        <v>78.034190062999997</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34</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6</v>
      </c>
      <c r="AJ32">
        <f>IF(I32="","",IF(AF32=0,0,IF(VLOOKUP(AF32,'Stats Calculator'!B$31:E$38,4,FALSE)&gt;0,0,2)))</f>
        <v>2</v>
      </c>
      <c r="AK32">
        <f>IF(I32="","",IF(Data!S$3-Engine!AI32=AG32,2,0))</f>
        <v>2</v>
      </c>
      <c r="AL32">
        <f t="shared" si="14"/>
        <v>11</v>
      </c>
    </row>
    <row r="33" spans="1:38" x14ac:dyDescent="0.3">
      <c r="A33">
        <v>32</v>
      </c>
      <c r="B33">
        <f t="shared" si="0"/>
        <v>51</v>
      </c>
      <c r="C33" s="113">
        <f t="shared" si="8"/>
        <v>81.032030062000004</v>
      </c>
      <c r="D33">
        <f t="shared" si="1"/>
        <v>50</v>
      </c>
      <c r="E33" s="3" t="str">
        <f t="shared" si="9"/>
        <v>p</v>
      </c>
      <c r="F33">
        <f t="shared" si="10"/>
        <v>1</v>
      </c>
      <c r="G33">
        <v>62</v>
      </c>
      <c r="H33" t="str">
        <f>Data!A34</f>
        <v>Krusty</v>
      </c>
      <c r="I33" s="2" t="str">
        <f>Data!C34</f>
        <v>Knights</v>
      </c>
      <c r="J33" s="2" t="str">
        <f>Data!D34</f>
        <v>Broncos</v>
      </c>
      <c r="K33" s="2" t="str">
        <f>Data!E34</f>
        <v>Cowboys</v>
      </c>
      <c r="L33" s="2" t="str">
        <f>IF(Data!$S$3&lt;Engine!L$1,0,Data!F34)</f>
        <v>Storm</v>
      </c>
      <c r="M33" s="2" t="str">
        <f>IF(Data!$S$3&lt;Engine!M$1,0,Data!G34)</f>
        <v>Warriors</v>
      </c>
      <c r="N33" s="2" t="str">
        <f>IF(Data!$S$3&lt;Engine!N$1,0,Data!H34)</f>
        <v>Panthers</v>
      </c>
      <c r="O33" s="2" t="str">
        <f>IF(Data!$S$3&lt;Engine!O$1,0,Data!I34)</f>
        <v>Eels</v>
      </c>
      <c r="P33" s="2">
        <f>IF(Data!$S$3&lt;Engine!P$1,0,Data!J34)</f>
        <v>0</v>
      </c>
      <c r="Q33" s="12" t="str">
        <f>IF(Data!B34=1,Data!K34,"No Tips")</f>
        <v>Broncos</v>
      </c>
      <c r="R33" s="2">
        <f>Data!L34</f>
        <v>81</v>
      </c>
      <c r="S33" s="2">
        <f>Data!M34</f>
        <v>3203</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Y33">
        <f t="shared" si="17"/>
        <v>82</v>
      </c>
      <c r="Z33">
        <f t="shared" si="12"/>
        <v>3237</v>
      </c>
      <c r="AA33" s="113">
        <f t="shared" si="13"/>
        <v>82.032370061999998</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34</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2</v>
      </c>
      <c r="AL33">
        <f t="shared" si="14"/>
        <v>11</v>
      </c>
    </row>
    <row r="34" spans="1:38" x14ac:dyDescent="0.3">
      <c r="A34">
        <v>33</v>
      </c>
      <c r="B34">
        <f t="shared" ref="B34:B65" si="18">IF(H34="ZZZZZZ Suspend","",RANK(C34,C:C))</f>
        <v>57</v>
      </c>
      <c r="C34" s="113">
        <f t="shared" si="8"/>
        <v>75.031260060999998</v>
      </c>
      <c r="D34">
        <f t="shared" ref="D34:D65" si="19">IF(H34="ZZZZZZ Suspend","",RANK(AA34,AA:AA))</f>
        <v>59</v>
      </c>
      <c r="E34" s="3" t="str">
        <f t="shared" si="9"/>
        <v>q</v>
      </c>
      <c r="F34">
        <f t="shared" si="10"/>
        <v>2</v>
      </c>
      <c r="G34">
        <v>61</v>
      </c>
      <c r="H34" t="str">
        <f>Data!A35</f>
        <v>LetsGoPanthers</v>
      </c>
      <c r="I34" s="2" t="str">
        <f>Data!C35</f>
        <v/>
      </c>
      <c r="J34" s="2" t="str">
        <f>Data!D35</f>
        <v/>
      </c>
      <c r="K34" s="2" t="str">
        <f>Data!E35</f>
        <v/>
      </c>
      <c r="L34" s="2" t="str">
        <f>IF(Data!$S$3&lt;Engine!L$1,0,Data!F35)</f>
        <v/>
      </c>
      <c r="M34" s="2" t="str">
        <f>IF(Data!$S$3&lt;Engine!M$1,0,Data!G35)</f>
        <v/>
      </c>
      <c r="N34" s="2" t="str">
        <f>IF(Data!$S$3&lt;Engine!N$1,0,Data!H35)</f>
        <v/>
      </c>
      <c r="O34" s="2" t="str">
        <f>IF(Data!$S$3&lt;Engine!O$1,0,Data!I35)</f>
        <v/>
      </c>
      <c r="P34" s="2">
        <f>IF(Data!$S$3&lt;Engine!P$1,0,Data!J35)</f>
        <v>0</v>
      </c>
      <c r="Q34" s="12" t="str">
        <f>IF(Data!B35=1,Data!K35,"No Tips")</f>
        <v>No Tips</v>
      </c>
      <c r="R34" s="2">
        <f>Data!L35</f>
        <v>75</v>
      </c>
      <c r="S34" s="2">
        <f>Data!M35</f>
        <v>3126</v>
      </c>
      <c r="T34" s="1" t="str">
        <f>IF(I34="","",COUNTIF('Live Ladder'!P:P,I34)+COUNTIF('Live Ladder'!P:P,J34)+COUNTIF('Live Ladder'!P:P,K34)+COUNTIF('Live Ladder'!P:P,L34)+COUNTIF('Live Ladder'!P:P,M34)+COUNTIF('Live Ladder'!P:P,N34)+COUNTIF('Live Ladder'!P:P,O34)+COUNTIF('Live Ladder'!P:P,P34))</f>
        <v/>
      </c>
      <c r="U34" s="1" t="str">
        <f>IF(I34="","",IF(COUNTIF('Live Ladder'!P:P,Engine!Q34)=1,2,IF(COUNTIF('Live Ladder'!Q:Q,Engine!Q34)=1,-2,0)))</f>
        <v/>
      </c>
      <c r="V34" s="1" t="str">
        <f>IF(I34="","",IF(T34=Data!S$3,2,0))</f>
        <v/>
      </c>
      <c r="W34" s="1">
        <f t="shared" si="11"/>
        <v>-2</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18</v>
      </c>
      <c r="Y34">
        <f t="shared" si="17"/>
        <v>73</v>
      </c>
      <c r="Z34">
        <f t="shared" si="12"/>
        <v>3144</v>
      </c>
      <c r="AA34" s="113">
        <f t="shared" si="13"/>
        <v>73.031440060999998</v>
      </c>
      <c r="AB34">
        <f t="shared" si="16"/>
        <v>0</v>
      </c>
      <c r="AC34" t="str">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
      </c>
      <c r="AF34" t="str">
        <f>IF(I34="","",IF(Q34="",0,IF(AND(Q34&gt;0,COUNTIF('Stats Calculator'!$T$24:$AA$24,Q34)=1),HLOOKUP(Q34,'Stats Calculator'!$T$24:$AA$27,4,FALSE),IF(AND(Q34&gt;0,COUNTIF('Stats Calculator'!$T$25:$AA$25,Q34)=1),HLOOKUP(Q34,'Stats Calculator'!$T$25:$AA$27,3,FALSE)))))</f>
        <v/>
      </c>
      <c r="AG34" t="str">
        <f>IF(I34="","",COUNTIF(I34,'Stats Calculator'!E$31)+COUNTIF(J34,'Stats Calculator'!E$32)+COUNTIF(K34,'Stats Calculator'!E$33)+COUNTIF(L34,'Stats Calculator'!E$34)+COUNTIF(M34,'Stats Calculator'!E$35)+COUNTIF(N34,'Stats Calculator'!E$36)+COUNTIF(O34,'Stats Calculator'!E$37)+COUNTIF(P34,'Stats Calculator'!E$38)-8+Data!S$3)</f>
        <v/>
      </c>
      <c r="AH34" t="str">
        <f>IF(I34="","",IF(Q34="",0,IF(Q34=0,0,IF(VLOOKUP(Engine!AF34,'Stats Calculator'!B$31:E$38,4,FALSE)="",0,IF(VLOOKUP(Engine!AF34,'Stats Calculator'!B$31:E$38,4,FALSE)=Q34,2,-2)))))</f>
        <v/>
      </c>
      <c r="AI34" t="str">
        <f>IF(I34="","",Data!S$3-COUNTA('Stats Calculator'!E$31:E$38))</f>
        <v/>
      </c>
      <c r="AJ34" t="str">
        <f>IF(I34="","",IF(AF34=0,0,IF(VLOOKUP(AF34,'Stats Calculator'!B$31:E$38,4,FALSE)&gt;0,0,2)))</f>
        <v/>
      </c>
      <c r="AK34" t="str">
        <f>IF(I34="","",IF(Data!S$3-Engine!AI34=AG34,2,0))</f>
        <v/>
      </c>
      <c r="AL34" t="str">
        <f t="shared" si="14"/>
        <v/>
      </c>
    </row>
    <row r="35" spans="1:38" x14ac:dyDescent="0.3">
      <c r="A35">
        <v>34</v>
      </c>
      <c r="B35">
        <f t="shared" si="18"/>
        <v>47</v>
      </c>
      <c r="C35" s="113">
        <f t="shared" si="8"/>
        <v>82.033590060000009</v>
      </c>
      <c r="D35">
        <f t="shared" si="19"/>
        <v>46</v>
      </c>
      <c r="E35" s="3" t="str">
        <f t="shared" si="9"/>
        <v>p</v>
      </c>
      <c r="F35">
        <f t="shared" si="10"/>
        <v>1</v>
      </c>
      <c r="G35">
        <v>60</v>
      </c>
      <c r="H35" t="str">
        <f>Data!A36</f>
        <v>Lou</v>
      </c>
      <c r="I35" s="2" t="str">
        <f>Data!C36</f>
        <v>Knights</v>
      </c>
      <c r="J35" s="2" t="str">
        <f>Data!D36</f>
        <v>Broncos</v>
      </c>
      <c r="K35" s="2" t="str">
        <f>Data!E36</f>
        <v>Sea Eagles</v>
      </c>
      <c r="L35" s="2" t="str">
        <f>IF(Data!$S$3&lt;Engine!L$1,0,Data!F36)</f>
        <v>Storm</v>
      </c>
      <c r="M35" s="2" t="str">
        <f>IF(Data!$S$3&lt;Engine!M$1,0,Data!G36)</f>
        <v>Sharks</v>
      </c>
      <c r="N35" s="2" t="str">
        <f>IF(Data!$S$3&lt;Engine!N$1,0,Data!H36)</f>
        <v>Panthers</v>
      </c>
      <c r="O35" s="2" t="str">
        <f>IF(Data!$S$3&lt;Engine!O$1,0,Data!I36)</f>
        <v>Eels</v>
      </c>
      <c r="P35" s="2">
        <f>IF(Data!$S$3&lt;Engine!P$1,0,Data!J36)</f>
        <v>0</v>
      </c>
      <c r="Q35" s="12" t="str">
        <f>IF(Data!B36=1,Data!K36,"No Tips")</f>
        <v>Broncos</v>
      </c>
      <c r="R35" s="2">
        <f>Data!L36</f>
        <v>82</v>
      </c>
      <c r="S35" s="2">
        <f>Data!M36</f>
        <v>3359</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Y35">
        <f t="shared" si="17"/>
        <v>83</v>
      </c>
      <c r="Z35">
        <f t="shared" si="12"/>
        <v>3393</v>
      </c>
      <c r="AA35" s="113">
        <f t="shared" si="13"/>
        <v>83.033930060000003</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34</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2</v>
      </c>
      <c r="AL35">
        <f t="shared" si="14"/>
        <v>11</v>
      </c>
    </row>
    <row r="36" spans="1:38" x14ac:dyDescent="0.3">
      <c r="A36">
        <v>35</v>
      </c>
      <c r="B36">
        <f t="shared" si="18"/>
        <v>43</v>
      </c>
      <c r="C36" s="113">
        <f t="shared" si="8"/>
        <v>84.032840058999994</v>
      </c>
      <c r="D36">
        <f t="shared" si="19"/>
        <v>45</v>
      </c>
      <c r="E36" s="3" t="str">
        <f t="shared" si="9"/>
        <v>q</v>
      </c>
      <c r="F36">
        <f t="shared" si="10"/>
        <v>2</v>
      </c>
      <c r="G36">
        <v>59</v>
      </c>
      <c r="H36" t="str">
        <f>Data!A37</f>
        <v>Lukebrooksbiggestfan</v>
      </c>
      <c r="I36" s="2" t="str">
        <f>Data!C37</f>
        <v>Wests Tigers</v>
      </c>
      <c r="J36" s="2" t="str">
        <f>Data!D37</f>
        <v>Bulldogs</v>
      </c>
      <c r="K36" s="2" t="str">
        <f>Data!E37</f>
        <v>Sea Eagles</v>
      </c>
      <c r="L36" s="2" t="str">
        <f>IF(Data!$S$3&lt;Engine!L$1,0,Data!F37)</f>
        <v>Storm</v>
      </c>
      <c r="M36" s="2" t="str">
        <f>IF(Data!$S$3&lt;Engine!M$1,0,Data!G37)</f>
        <v>Warriors</v>
      </c>
      <c r="N36" s="2" t="str">
        <f>IF(Data!$S$3&lt;Engine!N$1,0,Data!H37)</f>
        <v>Panthers</v>
      </c>
      <c r="O36" s="2" t="str">
        <f>IF(Data!$S$3&lt;Engine!O$1,0,Data!I37)</f>
        <v>Eels</v>
      </c>
      <c r="P36" s="2">
        <f>IF(Data!$S$3&lt;Engine!P$1,0,Data!J37)</f>
        <v>0</v>
      </c>
      <c r="Q36" s="12" t="str">
        <f>IF(Data!B37=1,Data!K37,"No Tips")</f>
        <v>Panthers</v>
      </c>
      <c r="R36" s="2">
        <f>Data!L37</f>
        <v>84</v>
      </c>
      <c r="S36" s="2">
        <f>Data!M37</f>
        <v>3284</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18</v>
      </c>
      <c r="Y36">
        <f t="shared" si="17"/>
        <v>84</v>
      </c>
      <c r="Z36">
        <f t="shared" si="12"/>
        <v>3302</v>
      </c>
      <c r="AA36" s="113">
        <f t="shared" si="13"/>
        <v>84.033020058999995</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18</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6</v>
      </c>
      <c r="AJ36">
        <f>IF(I36="","",IF(AF36=0,0,IF(VLOOKUP(AF36,'Stats Calculator'!B$31:E$38,4,FALSE)&gt;0,0,2)))</f>
        <v>2</v>
      </c>
      <c r="AK36">
        <f>IF(I36="","",IF(Data!S$3-Engine!AI36=AG36,2,0))</f>
        <v>0</v>
      </c>
      <c r="AL36">
        <f t="shared" si="14"/>
        <v>8</v>
      </c>
    </row>
    <row r="37" spans="1:38" x14ac:dyDescent="0.3">
      <c r="A37">
        <v>36</v>
      </c>
      <c r="B37">
        <f t="shared" si="18"/>
        <v>12</v>
      </c>
      <c r="C37" s="113">
        <f t="shared" si="8"/>
        <v>108.03706005799999</v>
      </c>
      <c r="D37">
        <f t="shared" si="19"/>
        <v>12</v>
      </c>
      <c r="E37" s="3" t="str">
        <f t="shared" si="9"/>
        <v>u</v>
      </c>
      <c r="F37" t="str">
        <f t="shared" si="10"/>
        <v/>
      </c>
      <c r="G37">
        <v>58</v>
      </c>
      <c r="H37" t="str">
        <f>Data!A38</f>
        <v>Magnum</v>
      </c>
      <c r="I37" s="2" t="str">
        <f>Data!C38</f>
        <v>Knights</v>
      </c>
      <c r="J37" s="2" t="str">
        <f>Data!D38</f>
        <v>Broncos</v>
      </c>
      <c r="K37" s="2" t="str">
        <f>Data!E38</f>
        <v>Cowboys</v>
      </c>
      <c r="L37" s="2" t="str">
        <f>IF(Data!$S$3&lt;Engine!L$1,0,Data!F38)</f>
        <v>Storm</v>
      </c>
      <c r="M37" s="2" t="str">
        <f>IF(Data!$S$3&lt;Engine!M$1,0,Data!G38)</f>
        <v>Sharks</v>
      </c>
      <c r="N37" s="2" t="str">
        <f>IF(Data!$S$3&lt;Engine!N$1,0,Data!H38)</f>
        <v>Panthers</v>
      </c>
      <c r="O37" s="2" t="str">
        <f>IF(Data!$S$3&lt;Engine!O$1,0,Data!I38)</f>
        <v>Eels</v>
      </c>
      <c r="P37" s="2">
        <f>IF(Data!$S$3&lt;Engine!P$1,0,Data!J38)</f>
        <v>0</v>
      </c>
      <c r="Q37" s="12" t="str">
        <f>IF(Data!B38=1,Data!K38,"No Tips")</f>
        <v>Panthers</v>
      </c>
      <c r="R37" s="2">
        <f>Data!L38</f>
        <v>108</v>
      </c>
      <c r="S37" s="2">
        <f>Data!M38</f>
        <v>3706</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Y37">
        <f t="shared" si="17"/>
        <v>109</v>
      </c>
      <c r="Z37">
        <f t="shared" si="12"/>
        <v>3740</v>
      </c>
      <c r="AA37" s="113">
        <f t="shared" si="13"/>
        <v>109.037400058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34</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11</v>
      </c>
    </row>
    <row r="38" spans="1:38" x14ac:dyDescent="0.3">
      <c r="A38">
        <v>37</v>
      </c>
      <c r="B38">
        <f t="shared" si="18"/>
        <v>20</v>
      </c>
      <c r="C38" s="113">
        <f t="shared" si="8"/>
        <v>98.036060057</v>
      </c>
      <c r="D38">
        <f t="shared" si="19"/>
        <v>22</v>
      </c>
      <c r="E38" s="3" t="str">
        <f t="shared" si="9"/>
        <v>q</v>
      </c>
      <c r="F38">
        <f t="shared" si="10"/>
        <v>2</v>
      </c>
      <c r="G38">
        <v>57</v>
      </c>
      <c r="H38" t="str">
        <f>Data!A39</f>
        <v>MB</v>
      </c>
      <c r="I38" s="2" t="str">
        <f>Data!C39</f>
        <v>Knights</v>
      </c>
      <c r="J38" s="2" t="str">
        <f>Data!D39</f>
        <v>Broncos</v>
      </c>
      <c r="K38" s="2" t="str">
        <f>Data!E39</f>
        <v>Cowboys</v>
      </c>
      <c r="L38" s="2" t="str">
        <f>IF(Data!$S$3&lt;Engine!L$1,0,Data!F39)</f>
        <v>Storm</v>
      </c>
      <c r="M38" s="2" t="str">
        <f>IF(Data!$S$3&lt;Engine!M$1,0,Data!G39)</f>
        <v>Warriors</v>
      </c>
      <c r="N38" s="2" t="str">
        <f>IF(Data!$S$3&lt;Engine!N$1,0,Data!H39)</f>
        <v>Panthers</v>
      </c>
      <c r="O38" s="2" t="str">
        <f>IF(Data!$S$3&lt;Engine!O$1,0,Data!I39)</f>
        <v>Eels</v>
      </c>
      <c r="P38" s="2">
        <f>IF(Data!$S$3&lt;Engine!P$1,0,Data!J39)</f>
        <v>0</v>
      </c>
      <c r="Q38" s="12" t="str">
        <f>IF(Data!B39=1,Data!K39,"No Tips")</f>
        <v>Panthers</v>
      </c>
      <c r="R38" s="2">
        <f>Data!L39</f>
        <v>98</v>
      </c>
      <c r="S38" s="2">
        <f>Data!M39</f>
        <v>3606</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34</v>
      </c>
      <c r="Y38">
        <f t="shared" si="17"/>
        <v>99</v>
      </c>
      <c r="Z38">
        <f t="shared" si="12"/>
        <v>3640</v>
      </c>
      <c r="AA38" s="113">
        <f t="shared" si="13"/>
        <v>99.036400056999994</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34</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6</v>
      </c>
      <c r="AJ38">
        <f>IF(I38="","",IF(AF38=0,0,IF(VLOOKUP(AF38,'Stats Calculator'!B$31:E$38,4,FALSE)&gt;0,0,2)))</f>
        <v>2</v>
      </c>
      <c r="AK38">
        <f>IF(I38="","",IF(Data!S$3-Engine!AI38=AG38,2,0))</f>
        <v>2</v>
      </c>
      <c r="AL38">
        <f t="shared" si="14"/>
        <v>11</v>
      </c>
    </row>
    <row r="39" spans="1:38" x14ac:dyDescent="0.3">
      <c r="A39">
        <v>38</v>
      </c>
      <c r="B39">
        <f t="shared" si="18"/>
        <v>15</v>
      </c>
      <c r="C39" s="113">
        <f t="shared" si="8"/>
        <v>102.034500056</v>
      </c>
      <c r="D39">
        <f t="shared" si="19"/>
        <v>15</v>
      </c>
      <c r="E39" s="3" t="str">
        <f t="shared" si="9"/>
        <v>u</v>
      </c>
      <c r="F39" t="str">
        <f t="shared" si="10"/>
        <v/>
      </c>
      <c r="G39">
        <v>56</v>
      </c>
      <c r="H39" t="str">
        <f>Data!A40</f>
        <v>Micrider</v>
      </c>
      <c r="I39" s="2" t="str">
        <f>Data!C40</f>
        <v>Knights</v>
      </c>
      <c r="J39" s="2" t="str">
        <f>Data!D40</f>
        <v>Broncos</v>
      </c>
      <c r="K39" s="2" t="str">
        <f>Data!E40</f>
        <v>Sea Eagles</v>
      </c>
      <c r="L39" s="2" t="str">
        <f>IF(Data!$S$3&lt;Engine!L$1,0,Data!F40)</f>
        <v>Storm</v>
      </c>
      <c r="M39" s="2" t="str">
        <f>IF(Data!$S$3&lt;Engine!M$1,0,Data!G40)</f>
        <v>Warriors</v>
      </c>
      <c r="N39" s="2" t="str">
        <f>IF(Data!$S$3&lt;Engine!N$1,0,Data!H40)</f>
        <v>Panthers</v>
      </c>
      <c r="O39" s="2" t="str">
        <f>IF(Data!$S$3&lt;Engine!O$1,0,Data!I40)</f>
        <v>Eels</v>
      </c>
      <c r="P39" s="2">
        <f>IF(Data!$S$3&lt;Engine!P$1,0,Data!J40)</f>
        <v>0</v>
      </c>
      <c r="Q39" s="12" t="str">
        <f>IF(Data!B40=1,Data!K40,"No Tips")</f>
        <v>Panthers</v>
      </c>
      <c r="R39" s="2">
        <f>Data!L40</f>
        <v>102</v>
      </c>
      <c r="S39" s="2">
        <f>Data!M40</f>
        <v>3450</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34</v>
      </c>
      <c r="Y39">
        <f t="shared" si="17"/>
        <v>103</v>
      </c>
      <c r="Z39">
        <f t="shared" si="12"/>
        <v>3484</v>
      </c>
      <c r="AA39" s="113">
        <f t="shared" si="13"/>
        <v>103.03484005600001</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34</v>
      </c>
      <c r="AF39">
        <f>IF(I39="","",IF(Q39="",0,IF(AND(Q39&gt;0,COUNTIF('Stats Calculator'!$T$24:$AA$24,Q39)=1),HLOOKUP(Q39,'Stats Calculator'!$T$24:$AA$27,4,FALSE),IF(AND(Q39&gt;0,COUNTIF('Stats Calculator'!$T$25:$AA$25,Q39)=1),HLOOKUP(Q39,'Stats Calculator'!$T$25:$AA$27,3,FALSE)))))</f>
        <v>6</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2</v>
      </c>
      <c r="AL39">
        <f t="shared" si="14"/>
        <v>11</v>
      </c>
    </row>
    <row r="40" spans="1:38" x14ac:dyDescent="0.3">
      <c r="A40">
        <v>39</v>
      </c>
      <c r="B40">
        <f t="shared" si="18"/>
        <v>36</v>
      </c>
      <c r="C40" s="113">
        <f t="shared" si="8"/>
        <v>89.034930055000004</v>
      </c>
      <c r="D40">
        <f t="shared" si="19"/>
        <v>36</v>
      </c>
      <c r="E40" s="3" t="str">
        <f t="shared" si="9"/>
        <v>u</v>
      </c>
      <c r="F40" t="str">
        <f t="shared" si="10"/>
        <v/>
      </c>
      <c r="G40">
        <v>55</v>
      </c>
      <c r="H40" t="str">
        <f>Data!A41</f>
        <v>MJP181</v>
      </c>
      <c r="I40" s="2" t="str">
        <f>Data!C41</f>
        <v>Knights</v>
      </c>
      <c r="J40" s="2" t="str">
        <f>Data!D41</f>
        <v>Broncos</v>
      </c>
      <c r="K40" s="2" t="str">
        <f>Data!E41</f>
        <v>Cowboys</v>
      </c>
      <c r="L40" s="2" t="str">
        <f>IF(Data!$S$3&lt;Engine!L$1,0,Data!F41)</f>
        <v>Storm</v>
      </c>
      <c r="M40" s="2" t="str">
        <f>IF(Data!$S$3&lt;Engine!M$1,0,Data!G41)</f>
        <v>Sharks</v>
      </c>
      <c r="N40" s="2" t="str">
        <f>IF(Data!$S$3&lt;Engine!N$1,0,Data!H41)</f>
        <v>Panthers</v>
      </c>
      <c r="O40" s="2" t="str">
        <f>IF(Data!$S$3&lt;Engine!O$1,0,Data!I41)</f>
        <v>Eels</v>
      </c>
      <c r="P40" s="2">
        <f>IF(Data!$S$3&lt;Engine!P$1,0,Data!J41)</f>
        <v>0</v>
      </c>
      <c r="Q40" s="12" t="str">
        <f>IF(Data!B41=1,Data!K41,"No Tips")</f>
        <v>Broncos</v>
      </c>
      <c r="R40" s="2">
        <f>Data!L41</f>
        <v>89</v>
      </c>
      <c r="S40" s="2">
        <f>Data!M41</f>
        <v>3493</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Y40">
        <f t="shared" si="17"/>
        <v>90</v>
      </c>
      <c r="Z40">
        <f t="shared" si="12"/>
        <v>3527</v>
      </c>
      <c r="AA40" s="113">
        <f t="shared" si="13"/>
        <v>90.035270054999998</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34</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2</v>
      </c>
      <c r="AL40">
        <f t="shared" si="14"/>
        <v>11</v>
      </c>
    </row>
    <row r="41" spans="1:38" x14ac:dyDescent="0.3">
      <c r="A41">
        <v>40</v>
      </c>
      <c r="B41">
        <f t="shared" si="18"/>
        <v>8</v>
      </c>
      <c r="C41" s="113">
        <f t="shared" si="8"/>
        <v>111.03392005399999</v>
      </c>
      <c r="D41">
        <f t="shared" si="19"/>
        <v>8</v>
      </c>
      <c r="E41" s="3" t="str">
        <f t="shared" si="9"/>
        <v>u</v>
      </c>
      <c r="F41" t="str">
        <f t="shared" si="10"/>
        <v/>
      </c>
      <c r="G41">
        <v>54</v>
      </c>
      <c r="H41" t="str">
        <f>Data!A42</f>
        <v>MLC</v>
      </c>
      <c r="I41" s="2" t="str">
        <f>Data!C42</f>
        <v>Knights</v>
      </c>
      <c r="J41" s="2" t="str">
        <f>Data!D42</f>
        <v>Broncos</v>
      </c>
      <c r="K41" s="2" t="str">
        <f>Data!E42</f>
        <v>Cowboys</v>
      </c>
      <c r="L41" s="2" t="str">
        <f>IF(Data!$S$3&lt;Engine!L$1,0,Data!F42)</f>
        <v>Storm</v>
      </c>
      <c r="M41" s="2" t="str">
        <f>IF(Data!$S$3&lt;Engine!M$1,0,Data!G42)</f>
        <v>Warriors</v>
      </c>
      <c r="N41" s="2" t="str">
        <f>IF(Data!$S$3&lt;Engine!N$1,0,Data!H42)</f>
        <v>Dolphins</v>
      </c>
      <c r="O41" s="2" t="str">
        <f>IF(Data!$S$3&lt;Engine!O$1,0,Data!I42)</f>
        <v>Titans</v>
      </c>
      <c r="P41" s="2">
        <f>IF(Data!$S$3&lt;Engine!P$1,0,Data!J42)</f>
        <v>0</v>
      </c>
      <c r="Q41" s="12" t="str">
        <f>IF(Data!B42=1,Data!K42,"No Tips")</f>
        <v>Broncos</v>
      </c>
      <c r="R41" s="2">
        <f>Data!L42</f>
        <v>111</v>
      </c>
      <c r="S41" s="2">
        <f>Data!M42</f>
        <v>3392</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Y41">
        <f t="shared" si="17"/>
        <v>112</v>
      </c>
      <c r="Z41">
        <f t="shared" si="12"/>
        <v>3426</v>
      </c>
      <c r="AA41" s="113">
        <f t="shared" si="13"/>
        <v>112.034260054</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34</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2</v>
      </c>
      <c r="AL41">
        <f t="shared" si="14"/>
        <v>11</v>
      </c>
    </row>
    <row r="42" spans="1:38" x14ac:dyDescent="0.3">
      <c r="A42">
        <v>41</v>
      </c>
      <c r="B42">
        <f t="shared" si="18"/>
        <v>16</v>
      </c>
      <c r="C42" s="113">
        <f t="shared" si="8"/>
        <v>101.036000053</v>
      </c>
      <c r="D42">
        <f t="shared" si="19"/>
        <v>16</v>
      </c>
      <c r="E42" s="3" t="str">
        <f t="shared" si="9"/>
        <v>u</v>
      </c>
      <c r="F42" t="str">
        <f t="shared" si="10"/>
        <v/>
      </c>
      <c r="G42">
        <v>53</v>
      </c>
      <c r="H42" t="str">
        <f>Data!A43</f>
        <v>MR. TAYLOR</v>
      </c>
      <c r="I42" s="2" t="str">
        <f>Data!C43</f>
        <v>Knights</v>
      </c>
      <c r="J42" s="2" t="str">
        <f>Data!D43</f>
        <v>Broncos</v>
      </c>
      <c r="K42" s="2" t="str">
        <f>Data!E43</f>
        <v>Sea Eagles</v>
      </c>
      <c r="L42" s="2" t="str">
        <f>IF(Data!$S$3&lt;Engine!L$1,0,Data!F43)</f>
        <v>Storm</v>
      </c>
      <c r="M42" s="2" t="str">
        <f>IF(Data!$S$3&lt;Engine!M$1,0,Data!G43)</f>
        <v>Sharks</v>
      </c>
      <c r="N42" s="2" t="str">
        <f>IF(Data!$S$3&lt;Engine!N$1,0,Data!H43)</f>
        <v>Panthers</v>
      </c>
      <c r="O42" s="2" t="str">
        <f>IF(Data!$S$3&lt;Engine!O$1,0,Data!I43)</f>
        <v>Eels</v>
      </c>
      <c r="P42" s="2">
        <f>IF(Data!$S$3&lt;Engine!P$1,0,Data!J43)</f>
        <v>0</v>
      </c>
      <c r="Q42" s="12" t="str">
        <f>IF(Data!B43=1,Data!K43,"No Tips")</f>
        <v>Eels</v>
      </c>
      <c r="R42" s="2">
        <f>Data!L43</f>
        <v>101</v>
      </c>
      <c r="S42" s="2">
        <f>Data!M43</f>
        <v>3600</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Y42">
        <f t="shared" si="17"/>
        <v>102</v>
      </c>
      <c r="Z42">
        <f t="shared" si="12"/>
        <v>3634</v>
      </c>
      <c r="AA42" s="113">
        <f t="shared" si="13"/>
        <v>102.03634005299999</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34</v>
      </c>
      <c r="AF42">
        <f>IF(I42="","",IF(Q42="",0,IF(AND(Q42&gt;0,COUNTIF('Stats Calculator'!$T$24:$AA$24,Q42)=1),HLOOKUP(Q42,'Stats Calculator'!$T$24:$AA$27,4,FALSE),IF(AND(Q42&gt;0,COUNTIF('Stats Calculator'!$T$25:$AA$25,Q42)=1),HLOOKUP(Q42,'Stats Calculator'!$T$25:$AA$27,3,FALSE)))))</f>
        <v>7</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6</v>
      </c>
      <c r="AJ42">
        <f>IF(I42="","",IF(AF42=0,0,IF(VLOOKUP(AF42,'Stats Calculator'!B$31:E$38,4,FALSE)&gt;0,0,2)))</f>
        <v>2</v>
      </c>
      <c r="AK42">
        <f>IF(I42="","",IF(Data!S$3-Engine!AI42=AG42,2,0))</f>
        <v>2</v>
      </c>
      <c r="AL42">
        <f t="shared" si="14"/>
        <v>11</v>
      </c>
    </row>
    <row r="43" spans="1:38" x14ac:dyDescent="0.3">
      <c r="A43">
        <v>42</v>
      </c>
      <c r="B43">
        <f t="shared" si="18"/>
        <v>28</v>
      </c>
      <c r="C43" s="113">
        <f t="shared" si="8"/>
        <v>94.036170052000003</v>
      </c>
      <c r="D43">
        <f t="shared" si="19"/>
        <v>25</v>
      </c>
      <c r="E43" s="3" t="str">
        <f t="shared" si="9"/>
        <v>p</v>
      </c>
      <c r="F43">
        <f t="shared" si="10"/>
        <v>3</v>
      </c>
      <c r="G43">
        <v>52</v>
      </c>
      <c r="H43" t="str">
        <f>Data!A44</f>
        <v>murch</v>
      </c>
      <c r="I43" s="2" t="str">
        <f>Data!C44</f>
        <v>Knights</v>
      </c>
      <c r="J43" s="2" t="str">
        <f>Data!D44</f>
        <v>Bulldogs</v>
      </c>
      <c r="K43" s="2" t="str">
        <f>Data!E44</f>
        <v>Cowboys</v>
      </c>
      <c r="L43" s="2" t="str">
        <f>IF(Data!$S$3&lt;Engine!L$1,0,Data!F44)</f>
        <v>Roosters</v>
      </c>
      <c r="M43" s="2" t="str">
        <f>IF(Data!$S$3&lt;Engine!M$1,0,Data!G44)</f>
        <v>Warriors</v>
      </c>
      <c r="N43" s="2" t="str">
        <f>IF(Data!$S$3&lt;Engine!N$1,0,Data!H44)</f>
        <v>Panthers</v>
      </c>
      <c r="O43" s="2" t="str">
        <f>IF(Data!$S$3&lt;Engine!O$1,0,Data!I44)</f>
        <v>Eels</v>
      </c>
      <c r="P43" s="2">
        <f>IF(Data!$S$3&lt;Engine!P$1,0,Data!J44)</f>
        <v>0</v>
      </c>
      <c r="Q43" s="12" t="str">
        <f>IF(Data!B44=1,Data!K44,"No Tips")</f>
        <v>Knights</v>
      </c>
      <c r="R43" s="2">
        <f>Data!L44</f>
        <v>94</v>
      </c>
      <c r="S43" s="2">
        <f>Data!M44</f>
        <v>3617</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2</v>
      </c>
      <c r="V43" s="1">
        <f>IF(I43="","",IF(T43=Data!S$3,2,0))</f>
        <v>0</v>
      </c>
      <c r="W43" s="1">
        <f t="shared" si="11"/>
        <v>3</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Y43">
        <f t="shared" si="17"/>
        <v>97</v>
      </c>
      <c r="Z43">
        <f t="shared" si="12"/>
        <v>3651</v>
      </c>
      <c r="AA43" s="113">
        <f t="shared" si="13"/>
        <v>97.036510052000011</v>
      </c>
      <c r="AB43">
        <f t="shared" si="16"/>
        <v>3</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34</v>
      </c>
      <c r="AF43">
        <f>IF(I43="","",IF(Q43="",0,IF(AND(Q43&gt;0,COUNTIF('Stats Calculator'!$T$24:$AA$24,Q43)=1),HLOOKUP(Q43,'Stats Calculator'!$T$24:$AA$27,4,FALSE),IF(AND(Q43&gt;0,COUNTIF('Stats Calculator'!$T$25:$AA$25,Q43)=1),HLOOKUP(Q43,'Stats Calculator'!$T$25:$AA$27,3,FALSE)))))</f>
        <v>1</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6</v>
      </c>
      <c r="AJ43">
        <f>IF(I43="","",IF(AF43=0,0,IF(VLOOKUP(AF43,'Stats Calculator'!B$31:E$38,4,FALSE)&gt;0,0,2)))</f>
        <v>0</v>
      </c>
      <c r="AK43">
        <f>IF(I43="","",IF(Data!S$3-Engine!AI43=AG43,2,0))</f>
        <v>2</v>
      </c>
      <c r="AL43">
        <f t="shared" si="14"/>
        <v>11</v>
      </c>
    </row>
    <row r="44" spans="1:38" x14ac:dyDescent="0.3">
      <c r="A44">
        <v>43</v>
      </c>
      <c r="B44">
        <f t="shared" si="18"/>
        <v>46</v>
      </c>
      <c r="C44" s="113">
        <f t="shared" si="8"/>
        <v>83.033430050999996</v>
      </c>
      <c r="D44">
        <f t="shared" si="19"/>
        <v>52</v>
      </c>
      <c r="E44" s="3" t="str">
        <f t="shared" si="9"/>
        <v>q</v>
      </c>
      <c r="F44">
        <f t="shared" si="10"/>
        <v>6</v>
      </c>
      <c r="G44">
        <v>51</v>
      </c>
      <c r="H44" t="str">
        <f>Data!A45</f>
        <v>NotLast</v>
      </c>
      <c r="I44" s="2" t="str">
        <f>Data!C45</f>
        <v/>
      </c>
      <c r="J44" s="2" t="str">
        <f>Data!D45</f>
        <v/>
      </c>
      <c r="K44" s="2" t="str">
        <f>Data!E45</f>
        <v/>
      </c>
      <c r="L44" s="2" t="str">
        <f>IF(Data!$S$3&lt;Engine!L$1,0,Data!F45)</f>
        <v/>
      </c>
      <c r="M44" s="2" t="str">
        <f>IF(Data!$S$3&lt;Engine!M$1,0,Data!G45)</f>
        <v/>
      </c>
      <c r="N44" s="2" t="str">
        <f>IF(Data!$S$3&lt;Engine!N$1,0,Data!H45)</f>
        <v/>
      </c>
      <c r="O44" s="2" t="str">
        <f>IF(Data!$S$3&lt;Engine!O$1,0,Data!I45)</f>
        <v/>
      </c>
      <c r="P44" s="2">
        <f>IF(Data!$S$3&lt;Engine!P$1,0,Data!J45)</f>
        <v>0</v>
      </c>
      <c r="Q44" s="12" t="str">
        <f>IF(Data!B45=1,Data!K45,"No Tips")</f>
        <v>No Tips</v>
      </c>
      <c r="R44" s="2">
        <f>Data!L45</f>
        <v>83</v>
      </c>
      <c r="S44" s="2">
        <f>Data!M45</f>
        <v>3343</v>
      </c>
      <c r="T44" s="1" t="str">
        <f>IF(I44="","",COUNTIF('Live Ladder'!P:P,I44)+COUNTIF('Live Ladder'!P:P,J44)+COUNTIF('Live Ladder'!P:P,K44)+COUNTIF('Live Ladder'!P:P,L44)+COUNTIF('Live Ladder'!P:P,M44)+COUNTIF('Live Ladder'!P:P,N44)+COUNTIF('Live Ladder'!P:P,O44)+COUNTIF('Live Ladder'!P:P,P44))</f>
        <v/>
      </c>
      <c r="U44" s="1" t="str">
        <f>IF(I44="","",IF(COUNTIF('Live Ladder'!P:P,Engine!Q44)=1,2,IF(COUNTIF('Live Ladder'!Q:Q,Engine!Q44)=1,-2,0)))</f>
        <v/>
      </c>
      <c r="V44" s="1" t="str">
        <f>IF(I44="","",IF(T44=Data!S$3,2,0))</f>
        <v/>
      </c>
      <c r="W44" s="1">
        <f t="shared" si="11"/>
        <v>-2</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18</v>
      </c>
      <c r="Y44">
        <f t="shared" si="17"/>
        <v>81</v>
      </c>
      <c r="Z44">
        <f t="shared" si="12"/>
        <v>3361</v>
      </c>
      <c r="AA44" s="113">
        <f t="shared" si="13"/>
        <v>81.033610050999997</v>
      </c>
      <c r="AB44">
        <f t="shared" si="16"/>
        <v>0</v>
      </c>
      <c r="AC44" t="str">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
      </c>
      <c r="AF44" t="str">
        <f>IF(I44="","",IF(Q44="",0,IF(AND(Q44&gt;0,COUNTIF('Stats Calculator'!$T$24:$AA$24,Q44)=1),HLOOKUP(Q44,'Stats Calculator'!$T$24:$AA$27,4,FALSE),IF(AND(Q44&gt;0,COUNTIF('Stats Calculator'!$T$25:$AA$25,Q44)=1),HLOOKUP(Q44,'Stats Calculator'!$T$25:$AA$27,3,FALSE)))))</f>
        <v/>
      </c>
      <c r="AG44" t="str">
        <f>IF(I44="","",COUNTIF(I44,'Stats Calculator'!E$31)+COUNTIF(J44,'Stats Calculator'!E$32)+COUNTIF(K44,'Stats Calculator'!E$33)+COUNTIF(L44,'Stats Calculator'!E$34)+COUNTIF(M44,'Stats Calculator'!E$35)+COUNTIF(N44,'Stats Calculator'!E$36)+COUNTIF(O44,'Stats Calculator'!E$37)+COUNTIF(P44,'Stats Calculator'!E$38)-8+Data!S$3)</f>
        <v/>
      </c>
      <c r="AH44" t="str">
        <f>IF(I44="","",IF(Q44="",0,IF(Q44=0,0,IF(VLOOKUP(Engine!AF44,'Stats Calculator'!B$31:E$38,4,FALSE)="",0,IF(VLOOKUP(Engine!AF44,'Stats Calculator'!B$31:E$38,4,FALSE)=Q44,2,-2)))))</f>
        <v/>
      </c>
      <c r="AI44" t="str">
        <f>IF(I44="","",Data!S$3-COUNTA('Stats Calculator'!E$31:E$38))</f>
        <v/>
      </c>
      <c r="AJ44" t="str">
        <f>IF(I44="","",IF(AF44=0,0,IF(VLOOKUP(AF44,'Stats Calculator'!B$31:E$38,4,FALSE)&gt;0,0,2)))</f>
        <v/>
      </c>
      <c r="AK44" t="str">
        <f>IF(I44="","",IF(Data!S$3-Engine!AI44=AG44,2,0))</f>
        <v/>
      </c>
      <c r="AL44" t="str">
        <f t="shared" si="14"/>
        <v/>
      </c>
    </row>
    <row r="45" spans="1:38" x14ac:dyDescent="0.3">
      <c r="A45">
        <v>44</v>
      </c>
      <c r="B45">
        <f t="shared" si="18"/>
        <v>68</v>
      </c>
      <c r="C45" s="113">
        <f t="shared" si="8"/>
        <v>8.0261600500000014</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f>IF(Data!$S$3&lt;Engine!P$1,0,Data!J46)</f>
        <v>0</v>
      </c>
      <c r="Q45" s="12" t="str">
        <f>IF(Data!B46=1,Data!K46,"No Tips")</f>
        <v>No Tips</v>
      </c>
      <c r="R45" s="2">
        <f>Data!L46</f>
        <v>8</v>
      </c>
      <c r="S45" s="2">
        <f>Data!M46</f>
        <v>2616</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18</v>
      </c>
      <c r="Y45">
        <f t="shared" si="17"/>
        <v>6</v>
      </c>
      <c r="Z45">
        <f t="shared" si="12"/>
        <v>2634</v>
      </c>
      <c r="AA45" s="113">
        <f t="shared" si="13"/>
        <v>6.0263400499999999</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23.027450049000002</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f>IF(Data!$S$3&lt;Engine!P$1,0,Data!J47)</f>
        <v>0</v>
      </c>
      <c r="Q46" s="12" t="str">
        <f>IF(Data!B47=1,Data!K47,"No Tips")</f>
        <v>No Tips</v>
      </c>
      <c r="R46" s="2">
        <f>Data!L47</f>
        <v>23</v>
      </c>
      <c r="S46" s="2">
        <f>Data!M47</f>
        <v>2745</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18</v>
      </c>
      <c r="Y46" s="11">
        <f t="shared" si="17"/>
        <v>21</v>
      </c>
      <c r="Z46" s="11">
        <f t="shared" si="12"/>
        <v>2763</v>
      </c>
      <c r="AA46" s="113">
        <f t="shared" si="13"/>
        <v>21.027630048999999</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48</v>
      </c>
      <c r="C47" s="113">
        <f t="shared" si="8"/>
        <v>81.033920047999999</v>
      </c>
      <c r="D47">
        <f t="shared" si="19"/>
        <v>47</v>
      </c>
      <c r="E47" s="3" t="str">
        <f t="shared" si="9"/>
        <v>p</v>
      </c>
      <c r="F47">
        <f t="shared" si="10"/>
        <v>1</v>
      </c>
      <c r="G47">
        <v>48</v>
      </c>
      <c r="H47" t="str">
        <f>Data!A48</f>
        <v>Pablo</v>
      </c>
      <c r="I47" s="2" t="str">
        <f>Data!C48</f>
        <v>Knights</v>
      </c>
      <c r="J47" s="2" t="str">
        <f>Data!D48</f>
        <v>Broncos</v>
      </c>
      <c r="K47" s="2" t="str">
        <f>Data!E48</f>
        <v>Cowboys</v>
      </c>
      <c r="L47" s="2" t="str">
        <f>IF(Data!$S$3&lt;Engine!L$1,0,Data!F48)</f>
        <v>Storm</v>
      </c>
      <c r="M47" s="2" t="str">
        <f>IF(Data!$S$3&lt;Engine!M$1,0,Data!G48)</f>
        <v>Sharks</v>
      </c>
      <c r="N47" s="2" t="str">
        <f>IF(Data!$S$3&lt;Engine!N$1,0,Data!H48)</f>
        <v>Panthers</v>
      </c>
      <c r="O47" s="2" t="str">
        <f>IF(Data!$S$3&lt;Engine!O$1,0,Data!I48)</f>
        <v>Eels</v>
      </c>
      <c r="P47" s="2">
        <f>IF(Data!$S$3&lt;Engine!P$1,0,Data!J48)</f>
        <v>0</v>
      </c>
      <c r="Q47" s="12" t="str">
        <f>IF(Data!B48=1,Data!K48,"No Tips")</f>
        <v>Broncos</v>
      </c>
      <c r="R47" s="2">
        <f>Data!L48</f>
        <v>81</v>
      </c>
      <c r="S47" s="2">
        <f>Data!M48</f>
        <v>3392</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Y47">
        <f t="shared" si="17"/>
        <v>82</v>
      </c>
      <c r="Z47">
        <f t="shared" si="12"/>
        <v>3426</v>
      </c>
      <c r="AA47" s="113">
        <f t="shared" si="13"/>
        <v>82.034260048000007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34</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2</v>
      </c>
      <c r="AL47">
        <f t="shared" si="14"/>
        <v>11</v>
      </c>
    </row>
    <row r="48" spans="1:38" x14ac:dyDescent="0.3">
      <c r="A48">
        <v>47</v>
      </c>
      <c r="B48">
        <f t="shared" si="18"/>
        <v>11</v>
      </c>
      <c r="C48" s="113">
        <f t="shared" si="8"/>
        <v>109.036170047</v>
      </c>
      <c r="D48">
        <f t="shared" si="19"/>
        <v>11</v>
      </c>
      <c r="E48" s="3" t="str">
        <f t="shared" si="9"/>
        <v>u</v>
      </c>
      <c r="F48" t="str">
        <f t="shared" si="10"/>
        <v/>
      </c>
      <c r="G48">
        <v>47</v>
      </c>
      <c r="H48" t="str">
        <f>Data!A49</f>
        <v>PabloW</v>
      </c>
      <c r="I48" s="2" t="str">
        <f>Data!C49</f>
        <v>Knights</v>
      </c>
      <c r="J48" s="2" t="str">
        <f>Data!D49</f>
        <v>Broncos</v>
      </c>
      <c r="K48" s="2" t="str">
        <f>Data!E49</f>
        <v>Cowboys</v>
      </c>
      <c r="L48" s="2" t="str">
        <f>IF(Data!$S$3&lt;Engine!L$1,0,Data!F49)</f>
        <v>Storm</v>
      </c>
      <c r="M48" s="2" t="str">
        <f>IF(Data!$S$3&lt;Engine!M$1,0,Data!G49)</f>
        <v>Warriors</v>
      </c>
      <c r="N48" s="2" t="str">
        <f>IF(Data!$S$3&lt;Engine!N$1,0,Data!H49)</f>
        <v>Panthers</v>
      </c>
      <c r="O48" s="2" t="str">
        <f>IF(Data!$S$3&lt;Engine!O$1,0,Data!I49)</f>
        <v>Eels</v>
      </c>
      <c r="P48" s="2">
        <f>IF(Data!$S$3&lt;Engine!P$1,0,Data!J49)</f>
        <v>0</v>
      </c>
      <c r="Q48" s="12" t="str">
        <f>IF(Data!B49=1,Data!K49,"No Tips")</f>
        <v>Panthers</v>
      </c>
      <c r="R48" s="2">
        <f>Data!L49</f>
        <v>109</v>
      </c>
      <c r="S48" s="2">
        <f>Data!M49</f>
        <v>3617</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Y48">
        <f t="shared" si="17"/>
        <v>110</v>
      </c>
      <c r="Z48">
        <f t="shared" si="12"/>
        <v>3651</v>
      </c>
      <c r="AA48" s="113">
        <f t="shared" si="13"/>
        <v>110.03651004700001</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34</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2</v>
      </c>
      <c r="AL48">
        <f t="shared" si="14"/>
        <v>11</v>
      </c>
    </row>
    <row r="49" spans="1:38" s="11" customFormat="1" x14ac:dyDescent="0.3">
      <c r="A49">
        <v>48</v>
      </c>
      <c r="B49">
        <f t="shared" si="18"/>
        <v>44</v>
      </c>
      <c r="C49" s="113">
        <f t="shared" si="8"/>
        <v>83.03517004599999</v>
      </c>
      <c r="D49">
        <f t="shared" si="19"/>
        <v>43</v>
      </c>
      <c r="E49" s="3" t="str">
        <f t="shared" si="9"/>
        <v>p</v>
      </c>
      <c r="F49">
        <f t="shared" si="10"/>
        <v>1</v>
      </c>
      <c r="G49">
        <v>46</v>
      </c>
      <c r="H49" t="str">
        <f>Data!A50</f>
        <v>Panthers29</v>
      </c>
      <c r="I49" s="2" t="str">
        <f>Data!C50</f>
        <v>Knights</v>
      </c>
      <c r="J49" s="2" t="str">
        <f>Data!D50</f>
        <v>Broncos</v>
      </c>
      <c r="K49" s="2" t="str">
        <f>Data!E50</f>
        <v>Cowboys</v>
      </c>
      <c r="L49" s="2" t="str">
        <f>IF(Data!$S$3&lt;Engine!L$1,0,Data!F50)</f>
        <v>Storm</v>
      </c>
      <c r="M49" s="2" t="str">
        <f>IF(Data!$S$3&lt;Engine!M$1,0,Data!G50)</f>
        <v>Warriors</v>
      </c>
      <c r="N49" s="2" t="str">
        <f>IF(Data!$S$3&lt;Engine!N$1,0,Data!H50)</f>
        <v>Panthers</v>
      </c>
      <c r="O49" s="2" t="str">
        <f>IF(Data!$S$3&lt;Engine!O$1,0,Data!I50)</f>
        <v>Eels</v>
      </c>
      <c r="P49" s="2">
        <f>IF(Data!$S$3&lt;Engine!P$1,0,Data!J50)</f>
        <v>0</v>
      </c>
      <c r="Q49" s="12" t="str">
        <f>IF(Data!B50=1,Data!K50,"No Tips")</f>
        <v>Panthers</v>
      </c>
      <c r="R49" s="2">
        <f>Data!L50</f>
        <v>83</v>
      </c>
      <c r="S49" s="2">
        <f>Data!M50</f>
        <v>3517</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Y49">
        <f t="shared" si="17"/>
        <v>84</v>
      </c>
      <c r="Z49">
        <f t="shared" si="12"/>
        <v>3551</v>
      </c>
      <c r="AA49" s="113">
        <f t="shared" si="13"/>
        <v>84.035510045999999</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34</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2</v>
      </c>
      <c r="AL49">
        <f t="shared" si="14"/>
        <v>11</v>
      </c>
    </row>
    <row r="50" spans="1:38" x14ac:dyDescent="0.3">
      <c r="A50">
        <v>49</v>
      </c>
      <c r="B50">
        <f t="shared" si="18"/>
        <v>39</v>
      </c>
      <c r="C50" s="113">
        <f t="shared" si="8"/>
        <v>86.033190044999998</v>
      </c>
      <c r="D50">
        <f t="shared" si="19"/>
        <v>39</v>
      </c>
      <c r="E50" s="3" t="str">
        <f t="shared" si="9"/>
        <v>u</v>
      </c>
      <c r="F50" t="str">
        <f t="shared" si="10"/>
        <v/>
      </c>
      <c r="G50">
        <v>45</v>
      </c>
      <c r="H50" t="str">
        <f>Data!A51</f>
        <v>Robert Cook</v>
      </c>
      <c r="I50" s="2" t="str">
        <f>Data!C51</f>
        <v>Knights</v>
      </c>
      <c r="J50" s="2" t="str">
        <f>Data!D51</f>
        <v>Broncos</v>
      </c>
      <c r="K50" s="2" t="str">
        <f>Data!E51</f>
        <v>Cowboys</v>
      </c>
      <c r="L50" s="2" t="str">
        <f>IF(Data!$S$3&lt;Engine!L$1,0,Data!F51)</f>
        <v>Storm</v>
      </c>
      <c r="M50" s="2" t="str">
        <f>IF(Data!$S$3&lt;Engine!M$1,0,Data!G51)</f>
        <v>Sharks</v>
      </c>
      <c r="N50" s="2" t="str">
        <f>IF(Data!$S$3&lt;Engine!N$1,0,Data!H51)</f>
        <v>Panthers</v>
      </c>
      <c r="O50" s="2" t="str">
        <f>IF(Data!$S$3&lt;Engine!O$1,0,Data!I51)</f>
        <v>Eels</v>
      </c>
      <c r="P50" s="2">
        <f>IF(Data!$S$3&lt;Engine!P$1,0,Data!J51)</f>
        <v>0</v>
      </c>
      <c r="Q50" s="12" t="str">
        <f>IF(Data!B51=1,Data!K51,"No Tips")</f>
        <v>Broncos</v>
      </c>
      <c r="R50" s="2">
        <f>Data!L51</f>
        <v>86</v>
      </c>
      <c r="S50" s="2">
        <f>Data!M51</f>
        <v>3319</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34</v>
      </c>
      <c r="Y50">
        <f t="shared" si="17"/>
        <v>87</v>
      </c>
      <c r="Z50">
        <f t="shared" si="12"/>
        <v>3353</v>
      </c>
      <c r="AA50" s="113">
        <f t="shared" si="13"/>
        <v>87.033530044999992</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34</v>
      </c>
      <c r="AF50">
        <f>IF(I50="","",IF(Q50="",0,IF(AND(Q50&gt;0,COUNTIF('Stats Calculator'!$T$24:$AA$24,Q50)=1),HLOOKUP(Q50,'Stats Calculator'!$T$24:$AA$27,4,FALSE),IF(AND(Q50&gt;0,COUNTIF('Stats Calculator'!$T$25:$AA$25,Q50)=1),HLOOKUP(Q50,'Stats Calculator'!$T$25:$AA$27,3,FALSE)))))</f>
        <v>2</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11</v>
      </c>
    </row>
    <row r="51" spans="1:38" x14ac:dyDescent="0.3">
      <c r="A51">
        <v>50</v>
      </c>
      <c r="B51">
        <f t="shared" si="18"/>
        <v>13</v>
      </c>
      <c r="C51" s="113">
        <f t="shared" si="8"/>
        <v>106.035680044</v>
      </c>
      <c r="D51">
        <f t="shared" si="19"/>
        <v>13</v>
      </c>
      <c r="E51" s="3" t="str">
        <f t="shared" si="9"/>
        <v>u</v>
      </c>
      <c r="F51" t="str">
        <f t="shared" si="10"/>
        <v/>
      </c>
      <c r="G51">
        <v>44</v>
      </c>
      <c r="H51" t="str">
        <f>Data!A52</f>
        <v>RoostersRock</v>
      </c>
      <c r="I51" s="2" t="str">
        <f>Data!C52</f>
        <v>Knights</v>
      </c>
      <c r="J51" s="2" t="str">
        <f>Data!D52</f>
        <v>Broncos</v>
      </c>
      <c r="K51" s="2" t="str">
        <f>Data!E52</f>
        <v>Cowboys</v>
      </c>
      <c r="L51" s="2" t="str">
        <f>IF(Data!$S$3&lt;Engine!L$1,0,Data!F52)</f>
        <v>Storm</v>
      </c>
      <c r="M51" s="2" t="str">
        <f>IF(Data!$S$3&lt;Engine!M$1,0,Data!G52)</f>
        <v>Sharks</v>
      </c>
      <c r="N51" s="2" t="str">
        <f>IF(Data!$S$3&lt;Engine!N$1,0,Data!H52)</f>
        <v>Panthers</v>
      </c>
      <c r="O51" s="2" t="str">
        <f>IF(Data!$S$3&lt;Engine!O$1,0,Data!I52)</f>
        <v>Eels</v>
      </c>
      <c r="P51" s="2">
        <f>IF(Data!$S$3&lt;Engine!P$1,0,Data!J52)</f>
        <v>0</v>
      </c>
      <c r="Q51" s="12" t="str">
        <f>IF(Data!B52=1,Data!K52,"No Tips")</f>
        <v>Knights</v>
      </c>
      <c r="R51" s="2">
        <f>Data!L52</f>
        <v>106</v>
      </c>
      <c r="S51" s="2">
        <f>Data!M52</f>
        <v>3568</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2</v>
      </c>
      <c r="V51" s="1">
        <f>IF(I51="","",IF(T51=Data!S$3,2,0))</f>
        <v>0</v>
      </c>
      <c r="W51" s="1">
        <f t="shared" si="11"/>
        <v>3</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Y51">
        <f t="shared" si="17"/>
        <v>109</v>
      </c>
      <c r="Z51">
        <f t="shared" si="12"/>
        <v>3602</v>
      </c>
      <c r="AA51" s="113">
        <f t="shared" si="13"/>
        <v>109.036020044</v>
      </c>
      <c r="AB51">
        <f t="shared" si="16"/>
        <v>3</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34</v>
      </c>
      <c r="AD51" s="11"/>
      <c r="AE51" s="11"/>
      <c r="AF51">
        <f>IF(I51="","",IF(Q51="",0,IF(AND(Q51&gt;0,COUNTIF('Stats Calculator'!$T$24:$AA$24,Q51)=1),HLOOKUP(Q51,'Stats Calculator'!$T$24:$AA$27,4,FALSE),IF(AND(Q51&gt;0,COUNTIF('Stats Calculator'!$T$25:$AA$25,Q51)=1),HLOOKUP(Q51,'Stats Calculator'!$T$25:$AA$27,3,FALSE)))))</f>
        <v>1</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2</v>
      </c>
      <c r="AI51">
        <f>IF(I51="","",Data!S$3-COUNTA('Stats Calculator'!E$31:E$38))</f>
        <v>6</v>
      </c>
      <c r="AJ51">
        <f>IF(I51="","",IF(AF51=0,0,IF(VLOOKUP(AF51,'Stats Calculator'!B$31:E$38,4,FALSE)&gt;0,0,2)))</f>
        <v>0</v>
      </c>
      <c r="AK51">
        <f>IF(I51="","",IF(Data!S$3-Engine!AI51=AG51,2,0))</f>
        <v>2</v>
      </c>
      <c r="AL51">
        <f t="shared" si="14"/>
        <v>11</v>
      </c>
    </row>
    <row r="52" spans="1:38" x14ac:dyDescent="0.3">
      <c r="A52">
        <v>51</v>
      </c>
      <c r="B52">
        <f t="shared" si="18"/>
        <v>19</v>
      </c>
      <c r="C52" s="113">
        <f t="shared" si="8"/>
        <v>99.035720042999998</v>
      </c>
      <c r="D52">
        <f t="shared" si="19"/>
        <v>20</v>
      </c>
      <c r="E52" s="3" t="str">
        <f t="shared" si="9"/>
        <v>q</v>
      </c>
      <c r="F52">
        <f t="shared" si="10"/>
        <v>1</v>
      </c>
      <c r="G52">
        <v>43</v>
      </c>
      <c r="H52" t="str">
        <f>Data!A53</f>
        <v>Rossco the Pom</v>
      </c>
      <c r="I52" s="2" t="str">
        <f>Data!C53</f>
        <v>Knights</v>
      </c>
      <c r="J52" s="2" t="str">
        <f>Data!D53</f>
        <v>Broncos</v>
      </c>
      <c r="K52" s="2" t="str">
        <f>Data!E53</f>
        <v>Cowboys</v>
      </c>
      <c r="L52" s="2" t="str">
        <f>IF(Data!$S$3&lt;Engine!L$1,0,Data!F53)</f>
        <v>Storm</v>
      </c>
      <c r="M52" s="2" t="str">
        <f>IF(Data!$S$3&lt;Engine!M$1,0,Data!G53)</f>
        <v>Warriors</v>
      </c>
      <c r="N52" s="2" t="str">
        <f>IF(Data!$S$3&lt;Engine!N$1,0,Data!H53)</f>
        <v>Panthers</v>
      </c>
      <c r="O52" s="2" t="str">
        <f>IF(Data!$S$3&lt;Engine!O$1,0,Data!I53)</f>
        <v>Eels</v>
      </c>
      <c r="P52" s="2">
        <f>IF(Data!$S$3&lt;Engine!P$1,0,Data!J53)</f>
        <v>0</v>
      </c>
      <c r="Q52" s="12" t="str">
        <f>IF(Data!B53=1,Data!K53,"No Tips")</f>
        <v>Panthers</v>
      </c>
      <c r="R52" s="2">
        <f>Data!L53</f>
        <v>99</v>
      </c>
      <c r="S52" s="2">
        <f>Data!M53</f>
        <v>3572</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34</v>
      </c>
      <c r="Y52">
        <f t="shared" si="17"/>
        <v>100</v>
      </c>
      <c r="Z52">
        <f t="shared" si="12"/>
        <v>3606</v>
      </c>
      <c r="AA52" s="113">
        <f t="shared" si="13"/>
        <v>100.03606004300001</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34</v>
      </c>
      <c r="AF52">
        <f>IF(I52="","",IF(Q52="",0,IF(AND(Q52&gt;0,COUNTIF('Stats Calculator'!$T$24:$AA$24,Q52)=1),HLOOKUP(Q52,'Stats Calculator'!$T$24:$AA$27,4,FALSE),IF(AND(Q52&gt;0,COUNTIF('Stats Calculator'!$T$25:$AA$25,Q52)=1),HLOOKUP(Q52,'Stats Calculator'!$T$25:$AA$27,3,FALSE)))))</f>
        <v>6</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2</v>
      </c>
      <c r="AL52">
        <f t="shared" si="14"/>
        <v>11</v>
      </c>
    </row>
    <row r="53" spans="1:38" x14ac:dyDescent="0.3">
      <c r="A53">
        <v>52</v>
      </c>
      <c r="B53">
        <f t="shared" si="18"/>
        <v>18</v>
      </c>
      <c r="C53" s="113">
        <f t="shared" si="8"/>
        <v>100.034620042</v>
      </c>
      <c r="D53">
        <f t="shared" si="19"/>
        <v>19</v>
      </c>
      <c r="E53" s="3" t="str">
        <f t="shared" si="9"/>
        <v>q</v>
      </c>
      <c r="F53">
        <f t="shared" si="10"/>
        <v>1</v>
      </c>
      <c r="G53">
        <v>42</v>
      </c>
      <c r="H53" t="str">
        <f>Data!A54</f>
        <v>Runner</v>
      </c>
      <c r="I53" s="2" t="str">
        <f>Data!C54</f>
        <v>Knights</v>
      </c>
      <c r="J53" s="2" t="str">
        <f>Data!D54</f>
        <v>Broncos</v>
      </c>
      <c r="K53" s="2" t="str">
        <f>Data!E54</f>
        <v>Cowboys</v>
      </c>
      <c r="L53" s="2" t="str">
        <f>IF(Data!$S$3&lt;Engine!L$1,0,Data!F54)</f>
        <v>Storm</v>
      </c>
      <c r="M53" s="2" t="str">
        <f>IF(Data!$S$3&lt;Engine!M$1,0,Data!G54)</f>
        <v>Sharks</v>
      </c>
      <c r="N53" s="2" t="str">
        <f>IF(Data!$S$3&lt;Engine!N$1,0,Data!H54)</f>
        <v>Panthers</v>
      </c>
      <c r="O53" s="2" t="str">
        <f>IF(Data!$S$3&lt;Engine!O$1,0,Data!I54)</f>
        <v>Eels</v>
      </c>
      <c r="P53" s="2">
        <f>IF(Data!$S$3&lt;Engine!P$1,0,Data!J54)</f>
        <v>0</v>
      </c>
      <c r="Q53" s="12" t="str">
        <f>IF(Data!B54=1,Data!K54,"No Tips")</f>
        <v>Broncos</v>
      </c>
      <c r="R53" s="2">
        <f>Data!L54</f>
        <v>100</v>
      </c>
      <c r="S53" s="2">
        <f>Data!M54</f>
        <v>3462</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34</v>
      </c>
      <c r="Y53">
        <f t="shared" si="17"/>
        <v>101</v>
      </c>
      <c r="Z53">
        <f t="shared" si="12"/>
        <v>3496</v>
      </c>
      <c r="AA53" s="113">
        <f t="shared" si="13"/>
        <v>101.03496004199999</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34</v>
      </c>
      <c r="AF53">
        <f>IF(I53="","",IF(Q53="",0,IF(AND(Q53&gt;0,COUNTIF('Stats Calculator'!$T$24:$AA$24,Q53)=1),HLOOKUP(Q53,'Stats Calculator'!$T$24:$AA$27,4,FALSE),IF(AND(Q53&gt;0,COUNTIF('Stats Calculator'!$T$25:$AA$25,Q53)=1),HLOOKUP(Q53,'Stats Calculator'!$T$25:$AA$27,3,FALSE)))))</f>
        <v>2</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2</v>
      </c>
      <c r="AL53">
        <f t="shared" si="14"/>
        <v>11</v>
      </c>
    </row>
    <row r="54" spans="1:38" x14ac:dyDescent="0.3">
      <c r="A54">
        <v>53</v>
      </c>
      <c r="B54">
        <f t="shared" si="18"/>
        <v>25</v>
      </c>
      <c r="C54" s="113">
        <f t="shared" si="8"/>
        <v>96.034490041000012</v>
      </c>
      <c r="D54">
        <f t="shared" si="19"/>
        <v>27</v>
      </c>
      <c r="E54" s="3" t="str">
        <f t="shared" si="9"/>
        <v>q</v>
      </c>
      <c r="F54">
        <f t="shared" si="10"/>
        <v>2</v>
      </c>
      <c r="G54">
        <v>41</v>
      </c>
      <c r="H54" t="str">
        <f>Data!A55</f>
        <v>Seano</v>
      </c>
      <c r="I54" s="2" t="str">
        <f>Data!C55</f>
        <v>Knights</v>
      </c>
      <c r="J54" s="2" t="str">
        <f>Data!D55</f>
        <v>Bulldogs</v>
      </c>
      <c r="K54" s="2" t="str">
        <f>Data!E55</f>
        <v>Cowboys</v>
      </c>
      <c r="L54" s="2" t="str">
        <f>IF(Data!$S$3&lt;Engine!L$1,0,Data!F55)</f>
        <v>Storm</v>
      </c>
      <c r="M54" s="2" t="str">
        <f>IF(Data!$S$3&lt;Engine!M$1,0,Data!G55)</f>
        <v>Sharks</v>
      </c>
      <c r="N54" s="2" t="str">
        <f>IF(Data!$S$3&lt;Engine!N$1,0,Data!H55)</f>
        <v>Panthers</v>
      </c>
      <c r="O54" s="2" t="str">
        <f>IF(Data!$S$3&lt;Engine!O$1,0,Data!I55)</f>
        <v>Eels</v>
      </c>
      <c r="P54" s="2">
        <f>IF(Data!$S$3&lt;Engine!P$1,0,Data!J55)</f>
        <v>0</v>
      </c>
      <c r="Q54" s="12" t="str">
        <f>IF(Data!B55=1,Data!K55,"No Tips")</f>
        <v>Panthers</v>
      </c>
      <c r="R54" s="2">
        <f>Data!L55</f>
        <v>96</v>
      </c>
      <c r="S54" s="2">
        <f>Data!M55</f>
        <v>3449</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0</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Y54">
        <f t="shared" si="17"/>
        <v>97</v>
      </c>
      <c r="Z54">
        <f t="shared" si="12"/>
        <v>3483</v>
      </c>
      <c r="AA54" s="113">
        <f t="shared" si="13"/>
        <v>97.034830041000006</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34</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2</v>
      </c>
      <c r="AL54">
        <f t="shared" si="14"/>
        <v>11</v>
      </c>
    </row>
    <row r="55" spans="1:38" x14ac:dyDescent="0.3">
      <c r="A55">
        <v>54</v>
      </c>
      <c r="B55">
        <f t="shared" si="18"/>
        <v>41</v>
      </c>
      <c r="C55" s="113">
        <f t="shared" si="8"/>
        <v>85.03315004000001</v>
      </c>
      <c r="D55">
        <f t="shared" si="19"/>
        <v>41</v>
      </c>
      <c r="E55" s="3" t="str">
        <f t="shared" si="9"/>
        <v>u</v>
      </c>
      <c r="F55" t="str">
        <f t="shared" si="10"/>
        <v/>
      </c>
      <c r="G55">
        <v>40</v>
      </c>
      <c r="H55" t="str">
        <f>Data!A56</f>
        <v>Shagger</v>
      </c>
      <c r="I55" s="2" t="str">
        <f>Data!C56</f>
        <v>Knights</v>
      </c>
      <c r="J55" s="2" t="str">
        <f>Data!D56</f>
        <v>Broncos</v>
      </c>
      <c r="K55" s="2" t="str">
        <f>Data!E56</f>
        <v>Cowboys</v>
      </c>
      <c r="L55" s="2" t="str">
        <f>IF(Data!$S$3&lt;Engine!L$1,0,Data!F56)</f>
        <v>Roosters</v>
      </c>
      <c r="M55" s="2" t="str">
        <f>IF(Data!$S$3&lt;Engine!M$1,0,Data!G56)</f>
        <v>Sharks</v>
      </c>
      <c r="N55" s="2" t="str">
        <f>IF(Data!$S$3&lt;Engine!N$1,0,Data!H56)</f>
        <v>Dolphins</v>
      </c>
      <c r="O55" s="2" t="str">
        <f>IF(Data!$S$3&lt;Engine!O$1,0,Data!I56)</f>
        <v>Titans</v>
      </c>
      <c r="P55" s="2">
        <f>IF(Data!$S$3&lt;Engine!P$1,0,Data!J56)</f>
        <v>0</v>
      </c>
      <c r="Q55" s="12" t="str">
        <f>IF(Data!B56=1,Data!K56,"No Tips")</f>
        <v>Cowboys</v>
      </c>
      <c r="R55" s="2">
        <f>Data!L56</f>
        <v>85</v>
      </c>
      <c r="S55" s="2">
        <f>Data!M56</f>
        <v>3315</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0</v>
      </c>
      <c r="V55" s="1">
        <f>IF(I55="","",IF(T55=Data!S$3,2,0))</f>
        <v>0</v>
      </c>
      <c r="W55" s="1">
        <f t="shared" si="11"/>
        <v>1</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Y55">
        <f t="shared" si="17"/>
        <v>86</v>
      </c>
      <c r="Z55">
        <f t="shared" si="12"/>
        <v>3349</v>
      </c>
      <c r="AA55" s="113">
        <f t="shared" si="13"/>
        <v>86.033490040000004</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34</v>
      </c>
      <c r="AF55">
        <f>IF(I55="","",IF(Q55="",0,IF(AND(Q55&gt;0,COUNTIF('Stats Calculator'!$T$24:$AA$24,Q55)=1),HLOOKUP(Q55,'Stats Calculator'!$T$24:$AA$27,4,FALSE),IF(AND(Q55&gt;0,COUNTIF('Stats Calculator'!$T$25:$AA$25,Q55)=1),HLOOKUP(Q55,'Stats Calculator'!$T$25:$AA$27,3,FALSE)))))</f>
        <v>3</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2</v>
      </c>
      <c r="AL55">
        <f t="shared" si="14"/>
        <v>11</v>
      </c>
    </row>
    <row r="56" spans="1:38" x14ac:dyDescent="0.3">
      <c r="A56">
        <v>55</v>
      </c>
      <c r="B56">
        <f t="shared" si="18"/>
        <v>26</v>
      </c>
      <c r="C56" s="113">
        <f t="shared" si="8"/>
        <v>95.035800038999994</v>
      </c>
      <c r="D56">
        <f t="shared" si="19"/>
        <v>24</v>
      </c>
      <c r="E56" s="3" t="str">
        <f t="shared" si="9"/>
        <v>p</v>
      </c>
      <c r="F56">
        <f t="shared" si="10"/>
        <v>2</v>
      </c>
      <c r="G56">
        <v>39</v>
      </c>
      <c r="H56" t="str">
        <f>Data!A57</f>
        <v>SMOG</v>
      </c>
      <c r="I56" s="2" t="str">
        <f>Data!C57</f>
        <v>Knights</v>
      </c>
      <c r="J56" s="2" t="str">
        <f>Data!D57</f>
        <v>Broncos</v>
      </c>
      <c r="K56" s="2" t="str">
        <f>Data!E57</f>
        <v>Sea Eagles</v>
      </c>
      <c r="L56" s="2" t="str">
        <f>IF(Data!$S$3&lt;Engine!L$1,0,Data!F57)</f>
        <v>Storm</v>
      </c>
      <c r="M56" s="2" t="str">
        <f>IF(Data!$S$3&lt;Engine!M$1,0,Data!G57)</f>
        <v>Sharks</v>
      </c>
      <c r="N56" s="2" t="str">
        <f>IF(Data!$S$3&lt;Engine!N$1,0,Data!H57)</f>
        <v>Panthers</v>
      </c>
      <c r="O56" s="2" t="str">
        <f>IF(Data!$S$3&lt;Engine!O$1,0,Data!I57)</f>
        <v>Eels</v>
      </c>
      <c r="P56" s="2">
        <f>IF(Data!$S$3&lt;Engine!P$1,0,Data!J57)</f>
        <v>0</v>
      </c>
      <c r="Q56" s="12" t="str">
        <f>IF(Data!B57=1,Data!K57,"No Tips")</f>
        <v>Knights</v>
      </c>
      <c r="R56" s="2">
        <f>Data!L57</f>
        <v>95</v>
      </c>
      <c r="S56" s="2">
        <f>Data!M57</f>
        <v>3580</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2</v>
      </c>
      <c r="V56" s="1">
        <f>IF(I56="","",IF(T56=Data!S$3,2,0))</f>
        <v>0</v>
      </c>
      <c r="W56" s="1">
        <f t="shared" si="11"/>
        <v>3</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34</v>
      </c>
      <c r="Y56">
        <f t="shared" si="17"/>
        <v>98</v>
      </c>
      <c r="Z56">
        <f t="shared" si="12"/>
        <v>3614</v>
      </c>
      <c r="AA56" s="113">
        <f t="shared" si="13"/>
        <v>98.036140039000003</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34</v>
      </c>
      <c r="AF56">
        <f>IF(I56="","",IF(Q56="",0,IF(AND(Q56&gt;0,COUNTIF('Stats Calculator'!$T$24:$AA$24,Q56)=1),HLOOKUP(Q56,'Stats Calculator'!$T$24:$AA$27,4,FALSE),IF(AND(Q56&gt;0,COUNTIF('Stats Calculator'!$T$25:$AA$25,Q56)=1),HLOOKUP(Q56,'Stats Calculator'!$T$25:$AA$27,3,FALSE)))))</f>
        <v>1</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6</v>
      </c>
      <c r="AJ56">
        <f>IF(I56="","",IF(AF56=0,0,IF(VLOOKUP(AF56,'Stats Calculator'!B$31:E$38,4,FALSE)&gt;0,0,2)))</f>
        <v>0</v>
      </c>
      <c r="AK56">
        <f>IF(I56="","",IF(Data!S$3-Engine!AI56=AG56,2,0))</f>
        <v>2</v>
      </c>
      <c r="AL56">
        <f t="shared" si="14"/>
        <v>11</v>
      </c>
    </row>
    <row r="57" spans="1:38" x14ac:dyDescent="0.3">
      <c r="A57">
        <v>56</v>
      </c>
      <c r="B57">
        <f t="shared" si="18"/>
        <v>7</v>
      </c>
      <c r="C57" s="113">
        <f t="shared" si="8"/>
        <v>111.034940038</v>
      </c>
      <c r="D57">
        <f t="shared" si="19"/>
        <v>7</v>
      </c>
      <c r="E57" s="3" t="str">
        <f t="shared" si="9"/>
        <v>u</v>
      </c>
      <c r="F57" t="str">
        <f t="shared" si="10"/>
        <v/>
      </c>
      <c r="G57">
        <v>38</v>
      </c>
      <c r="H57" t="str">
        <f>Data!A58</f>
        <v>Splinter</v>
      </c>
      <c r="I57" s="2" t="str">
        <f>Data!C58</f>
        <v>Knights</v>
      </c>
      <c r="J57" s="2" t="str">
        <f>Data!D58</f>
        <v>Broncos</v>
      </c>
      <c r="K57" s="2" t="str">
        <f>Data!E58</f>
        <v>Cowboys</v>
      </c>
      <c r="L57" s="2" t="str">
        <f>IF(Data!$S$3&lt;Engine!L$1,0,Data!F58)</f>
        <v>Storm</v>
      </c>
      <c r="M57" s="2" t="str">
        <f>IF(Data!$S$3&lt;Engine!M$1,0,Data!G58)</f>
        <v>Warriors</v>
      </c>
      <c r="N57" s="2" t="str">
        <f>IF(Data!$S$3&lt;Engine!N$1,0,Data!H58)</f>
        <v>Panthers</v>
      </c>
      <c r="O57" s="2" t="str">
        <f>IF(Data!$S$3&lt;Engine!O$1,0,Data!I58)</f>
        <v>Titans</v>
      </c>
      <c r="P57" s="2">
        <f>IF(Data!$S$3&lt;Engine!P$1,0,Data!J58)</f>
        <v>0</v>
      </c>
      <c r="Q57" s="12" t="str">
        <f>IF(Data!B58=1,Data!K58,"No Tips")</f>
        <v>Knights</v>
      </c>
      <c r="R57" s="2">
        <f>Data!L58</f>
        <v>111</v>
      </c>
      <c r="S57" s="2">
        <f>Data!M58</f>
        <v>3494</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2</v>
      </c>
      <c r="V57" s="1">
        <f>IF(I57="","",IF(T57=Data!S$3,2,0))</f>
        <v>0</v>
      </c>
      <c r="W57" s="1">
        <f t="shared" si="11"/>
        <v>3</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34</v>
      </c>
      <c r="Y57">
        <f t="shared" si="17"/>
        <v>114</v>
      </c>
      <c r="Z57">
        <f t="shared" si="12"/>
        <v>3528</v>
      </c>
      <c r="AA57" s="113">
        <f t="shared" si="13"/>
        <v>114.035280038</v>
      </c>
      <c r="AB57">
        <f t="shared" si="16"/>
        <v>3</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34</v>
      </c>
      <c r="AF57">
        <f>IF(I57="","",IF(Q57="",0,IF(AND(Q57&gt;0,COUNTIF('Stats Calculator'!$T$24:$AA$24,Q57)=1),HLOOKUP(Q57,'Stats Calculator'!$T$24:$AA$27,4,FALSE),IF(AND(Q57&gt;0,COUNTIF('Stats Calculator'!$T$25:$AA$25,Q57)=1),HLOOKUP(Q57,'Stats Calculator'!$T$25:$AA$27,3,FALSE)))))</f>
        <v>1</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2</v>
      </c>
      <c r="AI57">
        <f>IF(I57="","",Data!S$3-COUNTA('Stats Calculator'!E$31:E$38))</f>
        <v>6</v>
      </c>
      <c r="AJ57">
        <f>IF(I57="","",IF(AF57=0,0,IF(VLOOKUP(AF57,'Stats Calculator'!B$31:E$38,4,FALSE)&gt;0,0,2)))</f>
        <v>0</v>
      </c>
      <c r="AK57">
        <f>IF(I57="","",IF(Data!S$3-Engine!AI57=AG57,2,0))</f>
        <v>2</v>
      </c>
      <c r="AL57">
        <f t="shared" si="14"/>
        <v>11</v>
      </c>
    </row>
    <row r="58" spans="1:38" x14ac:dyDescent="0.3">
      <c r="A58">
        <v>57</v>
      </c>
      <c r="B58">
        <f t="shared" si="18"/>
        <v>53</v>
      </c>
      <c r="C58" s="113">
        <f t="shared" si="8"/>
        <v>78.035250037000012</v>
      </c>
      <c r="D58">
        <f t="shared" si="19"/>
        <v>53</v>
      </c>
      <c r="E58" s="3" t="str">
        <f t="shared" si="9"/>
        <v>u</v>
      </c>
      <c r="F58" t="str">
        <f t="shared" si="10"/>
        <v/>
      </c>
      <c r="G58">
        <v>37</v>
      </c>
      <c r="H58" t="str">
        <f>Data!A59</f>
        <v>Stallion</v>
      </c>
      <c r="I58" s="2" t="str">
        <f>Data!C59</f>
        <v>Knights</v>
      </c>
      <c r="J58" s="2" t="str">
        <f>Data!D59</f>
        <v>Broncos</v>
      </c>
      <c r="K58" s="2" t="str">
        <f>Data!E59</f>
        <v>Cowboys</v>
      </c>
      <c r="L58" s="2" t="str">
        <f>IF(Data!$S$3&lt;Engine!L$1,0,Data!F59)</f>
        <v>Storm</v>
      </c>
      <c r="M58" s="2" t="str">
        <f>IF(Data!$S$3&lt;Engine!M$1,0,Data!G59)</f>
        <v>Warriors</v>
      </c>
      <c r="N58" s="2" t="str">
        <f>IF(Data!$S$3&lt;Engine!N$1,0,Data!H59)</f>
        <v>Panthers</v>
      </c>
      <c r="O58" s="2" t="str">
        <f>IF(Data!$S$3&lt;Engine!O$1,0,Data!I59)</f>
        <v>Eels</v>
      </c>
      <c r="P58" s="2">
        <f>IF(Data!$S$3&lt;Engine!P$1,0,Data!J59)</f>
        <v>0</v>
      </c>
      <c r="Q58" s="12" t="str">
        <f>IF(Data!B59=1,Data!K59,"No Tips")</f>
        <v>Broncos</v>
      </c>
      <c r="R58" s="2">
        <f>Data!L59</f>
        <v>78</v>
      </c>
      <c r="S58" s="2">
        <f>Data!M59</f>
        <v>3525</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Y58">
        <f t="shared" si="17"/>
        <v>79</v>
      </c>
      <c r="Z58">
        <f t="shared" si="12"/>
        <v>3559</v>
      </c>
      <c r="AA58" s="113">
        <f t="shared" si="13"/>
        <v>79.035590037000006</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34</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2</v>
      </c>
      <c r="AL58">
        <f t="shared" si="14"/>
        <v>11</v>
      </c>
    </row>
    <row r="59" spans="1:38" x14ac:dyDescent="0.3">
      <c r="A59">
        <v>58</v>
      </c>
      <c r="B59">
        <f t="shared" si="18"/>
        <v>27</v>
      </c>
      <c r="C59" s="113">
        <f t="shared" si="8"/>
        <v>95.035260035999997</v>
      </c>
      <c r="D59">
        <f t="shared" si="19"/>
        <v>28</v>
      </c>
      <c r="E59" s="3" t="str">
        <f t="shared" si="9"/>
        <v>q</v>
      </c>
      <c r="F59">
        <f t="shared" si="10"/>
        <v>1</v>
      </c>
      <c r="G59">
        <v>36</v>
      </c>
      <c r="H59" t="str">
        <f>Data!A60</f>
        <v>StuartS</v>
      </c>
      <c r="I59" s="2" t="str">
        <f>Data!C60</f>
        <v>Wests Tigers</v>
      </c>
      <c r="J59" s="2" t="str">
        <f>Data!D60</f>
        <v>Broncos</v>
      </c>
      <c r="K59" s="2" t="str">
        <f>Data!E60</f>
        <v>Cowboys</v>
      </c>
      <c r="L59" s="2" t="str">
        <f>IF(Data!$S$3&lt;Engine!L$1,0,Data!F60)</f>
        <v>Storm</v>
      </c>
      <c r="M59" s="2" t="str">
        <f>IF(Data!$S$3&lt;Engine!M$1,0,Data!G60)</f>
        <v>Warriors</v>
      </c>
      <c r="N59" s="2" t="str">
        <f>IF(Data!$S$3&lt;Engine!N$1,0,Data!H60)</f>
        <v>Panthers</v>
      </c>
      <c r="O59" s="2" t="str">
        <f>IF(Data!$S$3&lt;Engine!O$1,0,Data!I60)</f>
        <v>Eels</v>
      </c>
      <c r="P59" s="2">
        <f>IF(Data!$S$3&lt;Engine!P$1,0,Data!J60)</f>
        <v>0</v>
      </c>
      <c r="Q59" s="12" t="str">
        <f>IF(Data!B60=1,Data!K60,"No Tips")</f>
        <v>Panthers</v>
      </c>
      <c r="R59" s="2">
        <f>Data!L60</f>
        <v>95</v>
      </c>
      <c r="S59" s="2">
        <f>Data!M60</f>
        <v>3526</v>
      </c>
      <c r="T59" s="1">
        <f>IF(I59="","",COUNTIF('Live Ladder'!P:P,I59)+COUNTIF('Live Ladder'!P:P,J59)+COUNTIF('Live Ladder'!P:P,K59)+COUNTIF('Live Ladder'!P:P,L59)+COUNTIF('Live Ladder'!P:P,M59)+COUNTIF('Live Ladder'!P:P,N59)+COUNTIF('Live Ladder'!P:P,O59)+COUNTIF('Live Ladder'!P:P,P59))</f>
        <v>0</v>
      </c>
      <c r="U59" s="1">
        <f>IF(I59="","",IF(COUNTIF('Live Ladder'!P:P,Engine!Q59)=1,2,IF(COUNTIF('Live Ladder'!Q:Q,Engine!Q59)=1,-2,0)))</f>
        <v>0</v>
      </c>
      <c r="V59" s="1">
        <f>IF(I59="","",IF(T59=Data!S$3,2,0))</f>
        <v>0</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18</v>
      </c>
      <c r="Y59">
        <f t="shared" si="17"/>
        <v>95</v>
      </c>
      <c r="Z59">
        <f t="shared" si="12"/>
        <v>3544</v>
      </c>
      <c r="AA59" s="113">
        <f t="shared" si="13"/>
        <v>95.035440035999997</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18</v>
      </c>
      <c r="AF59">
        <f>IF(I59="","",IF(Q59="",0,IF(AND(Q59&gt;0,COUNTIF('Stats Calculator'!$T$24:$AA$24,Q59)=1),HLOOKUP(Q59,'Stats Calculator'!$T$24:$AA$27,4,FALSE),IF(AND(Q59&gt;0,COUNTIF('Stats Calculator'!$T$25:$AA$25,Q59)=1),HLOOKUP(Q59,'Stats Calculator'!$T$25:$AA$27,3,FALSE)))))</f>
        <v>6</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6</v>
      </c>
      <c r="AJ59">
        <f>IF(I59="","",IF(AF59=0,0,IF(VLOOKUP(AF59,'Stats Calculator'!B$31:E$38,4,FALSE)&gt;0,0,2)))</f>
        <v>2</v>
      </c>
      <c r="AK59">
        <f>IF(I59="","",IF(Data!S$3-Engine!AI59=AG59,2,0))</f>
        <v>0</v>
      </c>
      <c r="AL59">
        <f t="shared" si="14"/>
        <v>8</v>
      </c>
    </row>
    <row r="60" spans="1:38" x14ac:dyDescent="0.3">
      <c r="A60">
        <v>59</v>
      </c>
      <c r="B60">
        <f t="shared" si="18"/>
        <v>22</v>
      </c>
      <c r="C60" s="113">
        <f t="shared" si="8"/>
        <v>98.03374002599999</v>
      </c>
      <c r="D60">
        <f t="shared" si="19"/>
        <v>23</v>
      </c>
      <c r="E60" s="3" t="str">
        <f t="shared" si="9"/>
        <v>q</v>
      </c>
      <c r="F60">
        <f t="shared" si="10"/>
        <v>1</v>
      </c>
      <c r="G60">
        <v>26</v>
      </c>
      <c r="H60" t="str">
        <f>Data!A70</f>
        <v>T-Bone</v>
      </c>
      <c r="I60" s="2" t="str">
        <f>Data!C70</f>
        <v>Knights</v>
      </c>
      <c r="J60" s="2" t="str">
        <f>Data!D70</f>
        <v>Broncos</v>
      </c>
      <c r="K60" s="2" t="str">
        <f>Data!E70</f>
        <v>Cowboys</v>
      </c>
      <c r="L60" s="2" t="str">
        <f>IF(Data!$S$3&lt;Engine!L$1,0,Data!F70)</f>
        <v>Roosters</v>
      </c>
      <c r="M60" s="2" t="str">
        <f>IF(Data!$S$3&lt;Engine!M$1,0,Data!G70)</f>
        <v>Sharks</v>
      </c>
      <c r="N60" s="2" t="str">
        <f>IF(Data!$S$3&lt;Engine!N$1,0,Data!H70)</f>
        <v>Panthers</v>
      </c>
      <c r="O60" s="2" t="str">
        <f>IF(Data!$S$3&lt;Engine!O$1,0,Data!I70)</f>
        <v>Eels</v>
      </c>
      <c r="P60" s="2">
        <f>IF(Data!$S$3&lt;Engine!P$1,0,Data!J70)</f>
        <v>0</v>
      </c>
      <c r="Q60" s="12" t="str">
        <f>IF(Data!B70=1,Data!K70,"No Tips")</f>
        <v>Eels</v>
      </c>
      <c r="R60" s="2">
        <f>Data!L70</f>
        <v>98</v>
      </c>
      <c r="S60" s="2">
        <f>Data!M70</f>
        <v>3374</v>
      </c>
      <c r="T60" s="1">
        <f>IF(I60="","",COUNTIF('Live Ladder'!P:P,I60)+COUNTIF('Live Ladder'!P:P,J60)+COUNTIF('Live Ladder'!P:P,K60)+COUNTIF('Live Ladder'!P:P,L60)+COUNTIF('Live Ladder'!P:P,M60)+COUNTIF('Live Ladder'!P:P,N60)+COUNTIF('Live Ladder'!P:P,O60)+COUNTIF('Live Ladder'!P:P,P60))</f>
        <v>1</v>
      </c>
      <c r="U60" s="1">
        <f>IF(I60="","",IF(COUNTIF('Live Ladder'!P:P,Engine!Q60)=1,2,IF(COUNTIF('Live Ladder'!Q:Q,Engine!Q60)=1,-2,0)))</f>
        <v>0</v>
      </c>
      <c r="V60" s="1">
        <f>IF(I60="","",IF(T60=Data!S$3,2,0))</f>
        <v>0</v>
      </c>
      <c r="W60" s="1">
        <f t="shared" si="11"/>
        <v>1</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Y60">
        <f t="shared" si="17"/>
        <v>99</v>
      </c>
      <c r="Z60">
        <f t="shared" si="12"/>
        <v>3408</v>
      </c>
      <c r="AA60" s="113">
        <f t="shared" si="13"/>
        <v>99.034080025999998</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34</v>
      </c>
      <c r="AF60">
        <f>IF(I60="","",IF(Q60="",0,IF(AND(Q60&gt;0,COUNTIF('Stats Calculator'!$T$24:$AA$24,Q60)=1),HLOOKUP(Q60,'Stats Calculator'!$T$24:$AA$27,4,FALSE),IF(AND(Q60&gt;0,COUNTIF('Stats Calculator'!$T$25:$AA$25,Q60)=1),HLOOKUP(Q60,'Stats Calculator'!$T$25:$AA$27,3,FALSE)))))</f>
        <v>7</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2</v>
      </c>
      <c r="AL60">
        <f t="shared" si="14"/>
        <v>11</v>
      </c>
    </row>
    <row r="61" spans="1:38" x14ac:dyDescent="0.3">
      <c r="A61">
        <v>60</v>
      </c>
      <c r="B61">
        <f t="shared" si="18"/>
        <v>10</v>
      </c>
      <c r="C61" s="113">
        <f t="shared" si="8"/>
        <v>110.03531003499999</v>
      </c>
      <c r="D61">
        <f t="shared" si="19"/>
        <v>10</v>
      </c>
      <c r="E61" s="3" t="str">
        <f t="shared" si="9"/>
        <v>u</v>
      </c>
      <c r="F61" t="str">
        <f t="shared" si="10"/>
        <v/>
      </c>
      <c r="G61">
        <v>35</v>
      </c>
      <c r="H61" t="str">
        <f>Data!A61</f>
        <v>The Creator</v>
      </c>
      <c r="I61" s="2" t="str">
        <f>Data!C61</f>
        <v>Knights</v>
      </c>
      <c r="J61" s="2" t="str">
        <f>Data!D61</f>
        <v>Broncos</v>
      </c>
      <c r="K61" s="2" t="str">
        <f>Data!E61</f>
        <v>Sea Eagles</v>
      </c>
      <c r="L61" s="2" t="str">
        <f>IF(Data!$S$3&lt;Engine!L$1,0,Data!F61)</f>
        <v>Storm</v>
      </c>
      <c r="M61" s="2" t="str">
        <f>IF(Data!$S$3&lt;Engine!M$1,0,Data!G61)</f>
        <v>Warriors</v>
      </c>
      <c r="N61" s="2" t="str">
        <f>IF(Data!$S$3&lt;Engine!N$1,0,Data!H61)</f>
        <v>Panthers</v>
      </c>
      <c r="O61" s="2" t="str">
        <f>IF(Data!$S$3&lt;Engine!O$1,0,Data!I61)</f>
        <v>Eels</v>
      </c>
      <c r="P61" s="2">
        <f>IF(Data!$S$3&lt;Engine!P$1,0,Data!J61)</f>
        <v>0</v>
      </c>
      <c r="Q61" s="12" t="str">
        <f>IF(Data!B61=1,Data!K61,"No Tips")</f>
        <v>Panthers</v>
      </c>
      <c r="R61" s="2">
        <f>Data!L61</f>
        <v>110</v>
      </c>
      <c r="S61" s="2">
        <f>Data!M61</f>
        <v>3531</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Y61">
        <f t="shared" si="17"/>
        <v>111</v>
      </c>
      <c r="Z61">
        <f t="shared" si="12"/>
        <v>3565</v>
      </c>
      <c r="AA61" s="113">
        <f t="shared" si="13"/>
        <v>111.035650035</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34</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6</v>
      </c>
      <c r="AJ61">
        <f>IF(I61="","",IF(AF61=0,0,IF(VLOOKUP(AF61,'Stats Calculator'!B$31:E$38,4,FALSE)&gt;0,0,2)))</f>
        <v>2</v>
      </c>
      <c r="AK61">
        <f>IF(I61="","",IF(Data!S$3-Engine!AI61=AG61,2,0))</f>
        <v>2</v>
      </c>
      <c r="AL61">
        <f t="shared" si="14"/>
        <v>11</v>
      </c>
    </row>
    <row r="62" spans="1:38" x14ac:dyDescent="0.3">
      <c r="A62">
        <v>61</v>
      </c>
      <c r="B62">
        <f t="shared" si="18"/>
        <v>3</v>
      </c>
      <c r="C62" s="113">
        <f t="shared" si="8"/>
        <v>114.035860034</v>
      </c>
      <c r="D62">
        <f t="shared" si="19"/>
        <v>4</v>
      </c>
      <c r="E62" s="3" t="str">
        <f t="shared" si="9"/>
        <v>q</v>
      </c>
      <c r="F62">
        <f t="shared" si="10"/>
        <v>1</v>
      </c>
      <c r="G62">
        <v>34</v>
      </c>
      <c r="H62" t="str">
        <f>Data!A62</f>
        <v>TheZipZipMan</v>
      </c>
      <c r="I62" s="2" t="str">
        <f>Data!C62</f>
        <v>Knights</v>
      </c>
      <c r="J62" s="2" t="str">
        <f>Data!D62</f>
        <v>Broncos</v>
      </c>
      <c r="K62" s="2" t="str">
        <f>Data!E62</f>
        <v>Cowboys</v>
      </c>
      <c r="L62" s="2" t="str">
        <f>IF(Data!$S$3&lt;Engine!L$1,0,Data!F62)</f>
        <v>Storm</v>
      </c>
      <c r="M62" s="2" t="str">
        <f>IF(Data!$S$3&lt;Engine!M$1,0,Data!G62)</f>
        <v>Warriors</v>
      </c>
      <c r="N62" s="2" t="str">
        <f>IF(Data!$S$3&lt;Engine!N$1,0,Data!H62)</f>
        <v>Panthers</v>
      </c>
      <c r="O62" s="2" t="str">
        <f>IF(Data!$S$3&lt;Engine!O$1,0,Data!I62)</f>
        <v>Eels</v>
      </c>
      <c r="P62" s="2">
        <f>IF(Data!$S$3&lt;Engine!P$1,0,Data!J62)</f>
        <v>0</v>
      </c>
      <c r="Q62" s="12" t="str">
        <f>IF(Data!B62=1,Data!K62,"No Tips")</f>
        <v>Broncos</v>
      </c>
      <c r="R62" s="2">
        <f>Data!L62</f>
        <v>114</v>
      </c>
      <c r="S62" s="2">
        <f>Data!M62</f>
        <v>3586</v>
      </c>
      <c r="T62" s="1">
        <f>IF(I62="","",COUNTIF('Live Ladder'!P:P,I62)+COUNTIF('Live Ladder'!P:P,J62)+COUNTIF('Live Ladder'!P:P,K62)+COUNTIF('Live Ladder'!P:P,L62)+COUNTIF('Live Ladder'!P:P,M62)+COUNTIF('Live Ladder'!P:P,N62)+COUNTIF('Live Ladder'!P:P,O62)+COUNTIF('Live Ladder'!P:P,P62))</f>
        <v>1</v>
      </c>
      <c r="U62" s="1">
        <f>IF(I62="","",IF(COUNTIF('Live Ladder'!P:P,Engine!Q62)=1,2,IF(COUNTIF('Live Ladder'!Q:Q,Engine!Q62)=1,-2,0)))</f>
        <v>0</v>
      </c>
      <c r="V62" s="1">
        <f>IF(I62="","",IF(T62=Data!S$3,2,0))</f>
        <v>0</v>
      </c>
      <c r="W62" s="1">
        <f t="shared" si="11"/>
        <v>1</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Y62">
        <f t="shared" si="17"/>
        <v>115</v>
      </c>
      <c r="Z62">
        <f t="shared" si="12"/>
        <v>3620</v>
      </c>
      <c r="AA62" s="113">
        <f t="shared" si="13"/>
        <v>115.03620003399999</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34</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6</v>
      </c>
      <c r="AJ62">
        <f>IF(I62="","",IF(AF62=0,0,IF(VLOOKUP(AF62,'Stats Calculator'!B$31:E$38,4,FALSE)&gt;0,0,2)))</f>
        <v>2</v>
      </c>
      <c r="AK62">
        <f>IF(I62="","",IF(Data!S$3-Engine!AI62=AG62,2,0))</f>
        <v>2</v>
      </c>
      <c r="AL62">
        <f t="shared" si="14"/>
        <v>11</v>
      </c>
    </row>
    <row r="63" spans="1:38" x14ac:dyDescent="0.3">
      <c r="A63">
        <v>62</v>
      </c>
      <c r="B63">
        <f t="shared" si="18"/>
        <v>59</v>
      </c>
      <c r="C63" s="113">
        <f t="shared" si="8"/>
        <v>72.032820033000007</v>
      </c>
      <c r="D63">
        <f t="shared" si="19"/>
        <v>58</v>
      </c>
      <c r="E63" s="3" t="str">
        <f t="shared" si="9"/>
        <v>p</v>
      </c>
      <c r="F63">
        <f t="shared" si="10"/>
        <v>1</v>
      </c>
      <c r="G63">
        <v>33</v>
      </c>
      <c r="H63" t="str">
        <f>Data!A63</f>
        <v>Timbo</v>
      </c>
      <c r="I63" s="2" t="str">
        <f>Data!C63</f>
        <v>Knights</v>
      </c>
      <c r="J63" s="2" t="str">
        <f>Data!D63</f>
        <v>Bulldogs</v>
      </c>
      <c r="K63" s="2" t="str">
        <f>Data!E63</f>
        <v>Cowboys</v>
      </c>
      <c r="L63" s="2" t="str">
        <f>IF(Data!$S$3&lt;Engine!L$1,0,Data!F63)</f>
        <v>Storm</v>
      </c>
      <c r="M63" s="2" t="str">
        <f>IF(Data!$S$3&lt;Engine!M$1,0,Data!G63)</f>
        <v>Sharks</v>
      </c>
      <c r="N63" s="2" t="str">
        <f>IF(Data!$S$3&lt;Engine!N$1,0,Data!H63)</f>
        <v>Panthers</v>
      </c>
      <c r="O63" s="2" t="str">
        <f>IF(Data!$S$3&lt;Engine!O$1,0,Data!I63)</f>
        <v>Eels</v>
      </c>
      <c r="P63" s="2">
        <f>IF(Data!$S$3&lt;Engine!P$1,0,Data!J63)</f>
        <v>0</v>
      </c>
      <c r="Q63" s="12" t="str">
        <f>IF(Data!B63=1,Data!K63,"No Tips")</f>
        <v>Panthers</v>
      </c>
      <c r="R63" s="2">
        <f>Data!L63</f>
        <v>72</v>
      </c>
      <c r="S63" s="2">
        <f>Data!M63</f>
        <v>3282</v>
      </c>
      <c r="T63" s="1">
        <f>IF(I63="","",COUNTIF('Live Ladder'!P:P,I63)+COUNTIF('Live Ladder'!P:P,J63)+COUNTIF('Live Ladder'!P:P,K63)+COUNTIF('Live Ladder'!P:P,L63)+COUNTIF('Live Ladder'!P:P,M63)+COUNTIF('Live Ladder'!P:P,N63)+COUNTIF('Live Ladder'!P:P,O63)+COUNTIF('Live Ladder'!P:P,P63))</f>
        <v>1</v>
      </c>
      <c r="U63" s="1">
        <f>IF(I63="","",IF(COUNTIF('Live Ladder'!P:P,Engine!Q63)=1,2,IF(COUNTIF('Live Ladder'!Q:Q,Engine!Q63)=1,-2,0)))</f>
        <v>0</v>
      </c>
      <c r="V63" s="1">
        <f>IF(I63="","",IF(T63=Data!S$3,2,0))</f>
        <v>0</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Y63">
        <f t="shared" si="17"/>
        <v>73</v>
      </c>
      <c r="Z63">
        <f t="shared" si="12"/>
        <v>3316</v>
      </c>
      <c r="AA63" s="113">
        <f t="shared" si="13"/>
        <v>73.033160033000001</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34</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6</v>
      </c>
      <c r="AJ63">
        <f>IF(I63="","",IF(AF63=0,0,IF(VLOOKUP(AF63,'Stats Calculator'!B$31:E$38,4,FALSE)&gt;0,0,2)))</f>
        <v>2</v>
      </c>
      <c r="AK63">
        <f>IF(I63="","",IF(Data!S$3-Engine!AI63=AG63,2,0))</f>
        <v>2</v>
      </c>
      <c r="AL63">
        <f t="shared" si="14"/>
        <v>11</v>
      </c>
    </row>
    <row r="64" spans="1:38" x14ac:dyDescent="0.3">
      <c r="A64">
        <v>63</v>
      </c>
      <c r="B64">
        <f t="shared" si="18"/>
        <v>67</v>
      </c>
      <c r="C64" s="113">
        <f t="shared" si="8"/>
        <v>11.026360032000001</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f>IF(Data!$S$3&lt;Engine!P$1,0,Data!J64)</f>
        <v>0</v>
      </c>
      <c r="Q64" s="12" t="str">
        <f>IF(Data!B64=1,Data!K64,"No Tips")</f>
        <v>No Tips</v>
      </c>
      <c r="R64" s="2">
        <f>Data!L64</f>
        <v>11</v>
      </c>
      <c r="S64" s="2">
        <f>Data!M64</f>
        <v>2636</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18</v>
      </c>
      <c r="Y64">
        <f t="shared" si="17"/>
        <v>9</v>
      </c>
      <c r="Z64">
        <f t="shared" si="12"/>
        <v>2654</v>
      </c>
      <c r="AA64" s="113">
        <f t="shared" si="13"/>
        <v>9.0265400320000015</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32</v>
      </c>
      <c r="C65" s="113">
        <f t="shared" si="8"/>
        <v>90.035120031000005</v>
      </c>
      <c r="D65">
        <f t="shared" si="19"/>
        <v>33</v>
      </c>
      <c r="E65" s="3" t="str">
        <f t="shared" si="9"/>
        <v>q</v>
      </c>
      <c r="F65">
        <f t="shared" si="10"/>
        <v>1</v>
      </c>
      <c r="G65">
        <v>31</v>
      </c>
      <c r="H65" t="str">
        <f>Data!A65</f>
        <v>Turbo's Hamstrings</v>
      </c>
      <c r="I65" s="2" t="str">
        <f>Data!C65</f>
        <v>Knights</v>
      </c>
      <c r="J65" s="2" t="str">
        <f>Data!D65</f>
        <v>Broncos</v>
      </c>
      <c r="K65" s="2" t="str">
        <f>Data!E65</f>
        <v>Sea Eagles</v>
      </c>
      <c r="L65" s="2" t="str">
        <f>IF(Data!$S$3&lt;Engine!L$1,0,Data!F65)</f>
        <v>Storm</v>
      </c>
      <c r="M65" s="2" t="str">
        <f>IF(Data!$S$3&lt;Engine!M$1,0,Data!G65)</f>
        <v>Sharks</v>
      </c>
      <c r="N65" s="2" t="str">
        <f>IF(Data!$S$3&lt;Engine!N$1,0,Data!H65)</f>
        <v>Panthers</v>
      </c>
      <c r="O65" s="2" t="str">
        <f>IF(Data!$S$3&lt;Engine!O$1,0,Data!I65)</f>
        <v>Eels</v>
      </c>
      <c r="P65" s="2">
        <f>IF(Data!$S$3&lt;Engine!P$1,0,Data!J65)</f>
        <v>0</v>
      </c>
      <c r="Q65" s="12" t="str">
        <f>IF(Data!B65=1,Data!K65,"No Tips")</f>
        <v>Broncos</v>
      </c>
      <c r="R65" s="2">
        <f>Data!L65</f>
        <v>90</v>
      </c>
      <c r="S65" s="2">
        <f>Data!M65</f>
        <v>3512</v>
      </c>
      <c r="T65" s="1">
        <f>IF(I65="","",COUNTIF('Live Ladder'!P:P,I65)+COUNTIF('Live Ladder'!P:P,J65)+COUNTIF('Live Ladder'!P:P,K65)+COUNTIF('Live Ladder'!P:P,L65)+COUNTIF('Live Ladder'!P:P,M65)+COUNTIF('Live Ladder'!P:P,N65)+COUNTIF('Live Ladder'!P:P,O65)+COUNTIF('Live Ladder'!P:P,P65))</f>
        <v>1</v>
      </c>
      <c r="U65" s="1">
        <f>IF(I65="","",IF(COUNTIF('Live Ladder'!P:P,Engine!Q65)=1,2,IF(COUNTIF('Live Ladder'!Q:Q,Engine!Q65)=1,-2,0)))</f>
        <v>0</v>
      </c>
      <c r="V65" s="1">
        <f>IF(I65="","",IF(T65=Data!S$3,2,0))</f>
        <v>0</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Y65">
        <f t="shared" si="17"/>
        <v>91</v>
      </c>
      <c r="Z65">
        <f t="shared" si="12"/>
        <v>3546</v>
      </c>
      <c r="AA65" s="113">
        <f t="shared" si="13"/>
        <v>91.035460031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34</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2</v>
      </c>
      <c r="AL65">
        <f t="shared" si="14"/>
        <v>11</v>
      </c>
    </row>
    <row r="66" spans="1:38" x14ac:dyDescent="0.3">
      <c r="A66">
        <v>65</v>
      </c>
      <c r="B66">
        <f t="shared" ref="B66:B94" si="20">IF(H66="ZZZZZZ Suspend","",RANK(C66,C:C))</f>
        <v>6</v>
      </c>
      <c r="C66" s="113">
        <f t="shared" si="8"/>
        <v>112.03569003</v>
      </c>
      <c r="D66">
        <f t="shared" ref="D66:D94" si="21">IF(H66="ZZZZZZ Suspend","",RANK(AA66,AA:AA))</f>
        <v>6</v>
      </c>
      <c r="E66" s="3" t="str">
        <f t="shared" si="9"/>
        <v>u</v>
      </c>
      <c r="F66" t="str">
        <f t="shared" si="10"/>
        <v/>
      </c>
      <c r="G66">
        <v>30</v>
      </c>
      <c r="H66" t="str">
        <f>Data!A66</f>
        <v>UpthePamfers</v>
      </c>
      <c r="I66" s="2" t="str">
        <f>Data!C66</f>
        <v>Knights</v>
      </c>
      <c r="J66" s="2" t="str">
        <f>Data!D66</f>
        <v>Broncos</v>
      </c>
      <c r="K66" s="2" t="str">
        <f>Data!E66</f>
        <v>Cowboys</v>
      </c>
      <c r="L66" s="2" t="str">
        <f>IF(Data!$S$3&lt;Engine!L$1,0,Data!F66)</f>
        <v>Storm</v>
      </c>
      <c r="M66" s="2" t="str">
        <f>IF(Data!$S$3&lt;Engine!M$1,0,Data!G66)</f>
        <v>Sharks</v>
      </c>
      <c r="N66" s="2" t="str">
        <f>IF(Data!$S$3&lt;Engine!N$1,0,Data!H66)</f>
        <v>Panthers</v>
      </c>
      <c r="O66" s="2" t="str">
        <f>IF(Data!$S$3&lt;Engine!O$1,0,Data!I66)</f>
        <v>Eels</v>
      </c>
      <c r="P66" s="2">
        <f>IF(Data!$S$3&lt;Engine!P$1,0,Data!J66)</f>
        <v>0</v>
      </c>
      <c r="Q66" s="12" t="str">
        <f>IF(Data!B66=1,Data!K66,"No Tips")</f>
        <v>Knights</v>
      </c>
      <c r="R66" s="2">
        <f>Data!L66</f>
        <v>112</v>
      </c>
      <c r="S66" s="2">
        <f>Data!M66</f>
        <v>3569</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2</v>
      </c>
      <c r="V66" s="1">
        <f>IF(I66="","",IF(T66=Data!S$3,2,0))</f>
        <v>0</v>
      </c>
      <c r="W66" s="1">
        <f t="shared" si="11"/>
        <v>3</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Y66">
        <f t="shared" si="17"/>
        <v>115</v>
      </c>
      <c r="Z66">
        <f t="shared" si="12"/>
        <v>3603</v>
      </c>
      <c r="AA66" s="113">
        <f t="shared" si="13"/>
        <v>115.03603002999999</v>
      </c>
      <c r="AB66">
        <f t="shared" si="16"/>
        <v>3</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34</v>
      </c>
      <c r="AF66">
        <f>IF(I66="","",IF(Q66="",0,IF(AND(Q66&gt;0,COUNTIF('Stats Calculator'!$T$24:$AA$24,Q66)=1),HLOOKUP(Q66,'Stats Calculator'!$T$24:$AA$27,4,FALSE),IF(AND(Q66&gt;0,COUNTIF('Stats Calculator'!$T$25:$AA$25,Q66)=1),HLOOKUP(Q66,'Stats Calculator'!$T$25:$AA$27,3,FALSE)))))</f>
        <v>1</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2</v>
      </c>
      <c r="AI66">
        <f>IF(I66="","",Data!S$3-COUNTA('Stats Calculator'!E$31:E$38))</f>
        <v>6</v>
      </c>
      <c r="AJ66">
        <f>IF(I66="","",IF(AF66=0,0,IF(VLOOKUP(AF66,'Stats Calculator'!B$31:E$38,4,FALSE)&gt;0,0,2)))</f>
        <v>0</v>
      </c>
      <c r="AK66">
        <f>IF(I66="","",IF(Data!S$3-Engine!AI66=AG66,2,0))</f>
        <v>2</v>
      </c>
      <c r="AL66">
        <f t="shared" si="14"/>
        <v>11</v>
      </c>
    </row>
    <row r="67" spans="1:38" x14ac:dyDescent="0.3">
      <c r="A67">
        <v>66</v>
      </c>
      <c r="B67">
        <f t="shared" si="20"/>
        <v>40</v>
      </c>
      <c r="C67" s="113">
        <f t="shared" ref="C67:C95" si="22">IF(H67="ZZZZZZ Suspend","",R67+(S67/100000)+(G67/1000000000))</f>
        <v>85.035080029</v>
      </c>
      <c r="D67">
        <f t="shared" si="21"/>
        <v>40</v>
      </c>
      <c r="E67" s="3" t="str">
        <f t="shared" ref="E67:E85" si="23">IF(H67="ZZZZZZ Suspend","",IF(D67&lt;B67,AD$3,IF(D67&gt;B67,AD$4,AD$5)))</f>
        <v>u</v>
      </c>
      <c r="F67" t="str">
        <f t="shared" ref="F67:F85" si="24">IF(H67="ZZZZZZ Suspend","",IF(D67&gt;B67,D67-B67,IF(D67&lt;B67,B67-D67,"")))</f>
        <v/>
      </c>
      <c r="G67">
        <v>29</v>
      </c>
      <c r="H67" t="str">
        <f>Data!A67</f>
        <v>Wiley C</v>
      </c>
      <c r="I67" s="2" t="str">
        <f>Data!C67</f>
        <v>Knights</v>
      </c>
      <c r="J67" s="2" t="str">
        <f>Data!D67</f>
        <v>Broncos</v>
      </c>
      <c r="K67" s="2" t="str">
        <f>Data!E67</f>
        <v>Sea Eagles</v>
      </c>
      <c r="L67" s="2" t="str">
        <f>IF(Data!$S$3&lt;Engine!L$1,0,Data!F67)</f>
        <v>Storm</v>
      </c>
      <c r="M67" s="2" t="str">
        <f>IF(Data!$S$3&lt;Engine!M$1,0,Data!G67)</f>
        <v>Sharks</v>
      </c>
      <c r="N67" s="2" t="str">
        <f>IF(Data!$S$3&lt;Engine!N$1,0,Data!H67)</f>
        <v>Panthers</v>
      </c>
      <c r="O67" s="2" t="str">
        <f>IF(Data!$S$3&lt;Engine!O$1,0,Data!I67)</f>
        <v>Eels</v>
      </c>
      <c r="P67" s="2">
        <f>IF(Data!$S$3&lt;Engine!P$1,0,Data!J67)</f>
        <v>0</v>
      </c>
      <c r="Q67" s="12" t="str">
        <f>IF(Data!B67=1,Data!K67,"No Tips")</f>
        <v>Storm</v>
      </c>
      <c r="R67" s="2">
        <f>Data!L67</f>
        <v>85</v>
      </c>
      <c r="S67" s="2">
        <f>Data!M67</f>
        <v>3508</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Y67">
        <f t="shared" si="17"/>
        <v>86</v>
      </c>
      <c r="Z67">
        <f t="shared" ref="Z67:Z85" si="26">IF(H67="ZZZZZZ Suspend","",S67+X67)</f>
        <v>3542</v>
      </c>
      <c r="AA67" s="113">
        <f t="shared" ref="AA67:AA95" si="27">IF(H67="ZZZZZZ Suspend","",Y67+(Z67/100000)+(G67/1000000000))</f>
        <v>86.035420029000008</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34</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6</v>
      </c>
      <c r="AJ67">
        <f>IF(I67="","",IF(AF67=0,0,IF(VLOOKUP(AF67,'Stats Calculator'!B$31:E$38,4,FALSE)&gt;0,0,2)))</f>
        <v>2</v>
      </c>
      <c r="AK67">
        <f>IF(I67="","",IF(Data!S$3-Engine!AI67=AG67,2,0))</f>
        <v>2</v>
      </c>
      <c r="AL67">
        <f t="shared" ref="AL67:AL85" si="29">IF(I67="","",SUM(AG67:AK67))</f>
        <v>11</v>
      </c>
    </row>
    <row r="68" spans="1:38" x14ac:dyDescent="0.3">
      <c r="A68">
        <v>67</v>
      </c>
      <c r="B68">
        <f t="shared" si="20"/>
        <v>49</v>
      </c>
      <c r="C68" s="113">
        <f t="shared" si="22"/>
        <v>81.032890027999997</v>
      </c>
      <c r="D68">
        <f t="shared" si="21"/>
        <v>48</v>
      </c>
      <c r="E68" s="3" t="str">
        <f t="shared" si="23"/>
        <v>p</v>
      </c>
      <c r="F68">
        <f t="shared" si="24"/>
        <v>1</v>
      </c>
      <c r="G68">
        <v>28</v>
      </c>
      <c r="H68" t="str">
        <f>Data!A68</f>
        <v>Yackas</v>
      </c>
      <c r="I68" s="2" t="str">
        <f>Data!C68</f>
        <v>Knights</v>
      </c>
      <c r="J68" s="2" t="str">
        <f>Data!D68</f>
        <v>Broncos</v>
      </c>
      <c r="K68" s="2" t="str">
        <f>Data!E68</f>
        <v>Cowboys</v>
      </c>
      <c r="L68" s="2" t="str">
        <f>IF(Data!$S$3&lt;Engine!L$1,0,Data!F68)</f>
        <v>Storm</v>
      </c>
      <c r="M68" s="2" t="str">
        <f>IF(Data!$S$3&lt;Engine!M$1,0,Data!G68)</f>
        <v>Warriors</v>
      </c>
      <c r="N68" s="2" t="str">
        <f>IF(Data!$S$3&lt;Engine!N$1,0,Data!H68)</f>
        <v>Panthers</v>
      </c>
      <c r="O68" s="2" t="str">
        <f>IF(Data!$S$3&lt;Engine!O$1,0,Data!I68)</f>
        <v>Eels</v>
      </c>
      <c r="P68" s="2">
        <f>IF(Data!$S$3&lt;Engine!P$1,0,Data!J68)</f>
        <v>0</v>
      </c>
      <c r="Q68" s="12" t="str">
        <f>IF(Data!B68=1,Data!K68,"No Tips")</f>
        <v>Panthers</v>
      </c>
      <c r="R68" s="2">
        <f>Data!L68</f>
        <v>81</v>
      </c>
      <c r="S68" s="2">
        <f>Data!M68</f>
        <v>3289</v>
      </c>
      <c r="T68" s="1">
        <f>IF(I68="","",COUNTIF('Live Ladder'!P:P,I68)+COUNTIF('Live Ladder'!P:P,J68)+COUNTIF('Live Ladder'!P:P,K68)+COUNTIF('Live Ladder'!P:P,L68)+COUNTIF('Live Ladder'!P:P,M68)+COUNTIF('Live Ladder'!P:P,N68)+COUNTIF('Live Ladder'!P:P,O68)+COUNTIF('Live Ladder'!P:P,P68))</f>
        <v>1</v>
      </c>
      <c r="U68" s="1">
        <f>IF(I68="","",IF(COUNTIF('Live Ladder'!P:P,Engine!Q68)=1,2,IF(COUNTIF('Live Ladder'!Q:Q,Engine!Q68)=1,-2,0)))</f>
        <v>0</v>
      </c>
      <c r="V68" s="1">
        <f>IF(I68="","",IF(T68=Data!S$3,2,0))</f>
        <v>0</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34</v>
      </c>
      <c r="Y68">
        <f t="shared" si="17"/>
        <v>82</v>
      </c>
      <c r="Z68">
        <f t="shared" si="26"/>
        <v>3323</v>
      </c>
      <c r="AA68" s="113">
        <f t="shared" si="27"/>
        <v>82.033230028000006</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34</v>
      </c>
      <c r="AF68">
        <f>IF(I68="","",IF(Q68="",0,IF(AND(Q68&gt;0,COUNTIF('Stats Calculator'!$T$24:$AA$24,Q68)=1),HLOOKUP(Q68,'Stats Calculator'!$T$24:$AA$27,4,FALSE),IF(AND(Q68&gt;0,COUNTIF('Stats Calculator'!$T$25:$AA$25,Q68)=1),HLOOKUP(Q68,'Stats Calculator'!$T$25:$AA$27,3,FALSE)))))</f>
        <v>6</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6</v>
      </c>
      <c r="AJ68">
        <f>IF(I68="","",IF(AF68=0,0,IF(VLOOKUP(AF68,'Stats Calculator'!B$31:E$38,4,FALSE)&gt;0,0,2)))</f>
        <v>2</v>
      </c>
      <c r="AK68">
        <f>IF(I68="","",IF(Data!S$3-Engine!AI68=AG68,2,0))</f>
        <v>2</v>
      </c>
      <c r="AL68">
        <f t="shared" si="29"/>
        <v>11</v>
      </c>
    </row>
    <row r="69" spans="1:38" x14ac:dyDescent="0.3">
      <c r="A69">
        <v>68</v>
      </c>
      <c r="B69">
        <f t="shared" si="20"/>
        <v>31</v>
      </c>
      <c r="C69" s="113">
        <f t="shared" si="22"/>
        <v>92.034670027000004</v>
      </c>
      <c r="D69">
        <f t="shared" si="21"/>
        <v>30</v>
      </c>
      <c r="E69" s="3" t="str">
        <f t="shared" si="23"/>
        <v>p</v>
      </c>
      <c r="F69">
        <f t="shared" si="24"/>
        <v>1</v>
      </c>
      <c r="G69">
        <v>27</v>
      </c>
      <c r="H69" t="str">
        <f>Data!A69</f>
        <v>Year of the Knights</v>
      </c>
      <c r="I69" s="2" t="str">
        <f>Data!C69</f>
        <v>Knights</v>
      </c>
      <c r="J69" s="2" t="str">
        <f>Data!D69</f>
        <v>Broncos</v>
      </c>
      <c r="K69" s="2" t="str">
        <f>Data!E69</f>
        <v>Sea Eagles</v>
      </c>
      <c r="L69" s="2" t="str">
        <f>IF(Data!$S$3&lt;Engine!L$1,0,Data!F69)</f>
        <v>Storm</v>
      </c>
      <c r="M69" s="2" t="str">
        <f>IF(Data!$S$3&lt;Engine!M$1,0,Data!G69)</f>
        <v>Warriors</v>
      </c>
      <c r="N69" s="2" t="str">
        <f>IF(Data!$S$3&lt;Engine!N$1,0,Data!H69)</f>
        <v>Panthers</v>
      </c>
      <c r="O69" s="2" t="str">
        <f>IF(Data!$S$3&lt;Engine!O$1,0,Data!I69)</f>
        <v>Eels</v>
      </c>
      <c r="P69" s="2">
        <f>IF(Data!$S$3&lt;Engine!P$1,0,Data!J69)</f>
        <v>0</v>
      </c>
      <c r="Q69" s="12" t="str">
        <f>IF(Data!B69=1,Data!K69,"No Tips")</f>
        <v>Knights</v>
      </c>
      <c r="R69" s="2">
        <f>Data!L69</f>
        <v>92</v>
      </c>
      <c r="S69" s="2">
        <f>Data!M69</f>
        <v>3467</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2</v>
      </c>
      <c r="V69" s="1">
        <f>IF(I69="","",IF(T69=Data!S$3,2,0))</f>
        <v>0</v>
      </c>
      <c r="W69" s="1">
        <f t="shared" si="25"/>
        <v>3</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Y69">
        <f t="shared" si="17"/>
        <v>95</v>
      </c>
      <c r="Z69">
        <f t="shared" si="26"/>
        <v>3501</v>
      </c>
      <c r="AA69" s="113">
        <f t="shared" si="27"/>
        <v>95.035010026999998</v>
      </c>
      <c r="AB69">
        <f t="shared" si="28"/>
        <v>3</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34</v>
      </c>
      <c r="AF69">
        <f>IF(I69="","",IF(Q69="",0,IF(AND(Q69&gt;0,COUNTIF('Stats Calculator'!$T$24:$AA$24,Q69)=1),HLOOKUP(Q69,'Stats Calculator'!$T$24:$AA$27,4,FALSE),IF(AND(Q69&gt;0,COUNTIF('Stats Calculator'!$T$25:$AA$25,Q69)=1),HLOOKUP(Q69,'Stats Calculator'!$T$25:$AA$27,3,FALSE)))))</f>
        <v>1</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2</v>
      </c>
      <c r="AI69">
        <f>IF(I69="","",Data!S$3-COUNTA('Stats Calculator'!E$31:E$38))</f>
        <v>6</v>
      </c>
      <c r="AJ69">
        <f>IF(I69="","",IF(AF69=0,0,IF(VLOOKUP(AF69,'Stats Calculator'!B$31:E$38,4,FALSE)&gt;0,0,2)))</f>
        <v>0</v>
      </c>
      <c r="AK69">
        <f>IF(I69="","",IF(Data!S$3-Engine!AI69=AG69,2,0))</f>
        <v>2</v>
      </c>
      <c r="AL69">
        <f t="shared" si="29"/>
        <v>11</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f>IF(Data!$S$3&lt;Engine!P$1,0,Data!J71)</f>
        <v>0</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18</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f>IF(Data!$S$3&lt;Engine!P$1,0,Data!J72)</f>
        <v>0</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18</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f>IF(Data!$S$3&lt;Engine!P$1,0,Data!J73)</f>
        <v>0</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18</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f>IF(Data!$S$3&lt;Engine!P$1,0,Data!J74)</f>
        <v>0</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18</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f>IF(Data!$S$3&lt;Engine!P$1,0,Data!J75)</f>
        <v>0</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18</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f>IF(Data!$S$3&lt;Engine!P$1,0,Data!J76)</f>
        <v>0</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18</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f>IF(Data!$S$3&lt;Engine!P$1,0,Data!J77)</f>
        <v>0</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18</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f>IF(Data!$S$3&lt;Engine!P$1,0,Data!J78)</f>
        <v>0</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18</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f>IF(Data!$S$3&lt;Engine!P$1,0,Data!J79)</f>
        <v>0</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18</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f>IF(Data!$S$3&lt;Engine!P$1,0,Data!J84)</f>
        <v>0</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18</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f>IF(Data!$S$3&lt;Engine!P$1,0,Data!J81)</f>
        <v>0</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18</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f>IF(Data!$S$3&lt;Engine!P$1,0,Data!J85)</f>
        <v>0</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18</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f>IF(Data!$S$3&lt;Engine!P$1,0,Data!J82)</f>
        <v>0</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18</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f>IF(Data!$S$3&lt;Engine!P$1,0,Data!J80)</f>
        <v>0</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18</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f>IF(Data!$S$3&lt;Engine!P$1,0,Data!J83)</f>
        <v>0</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18</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f>IF(Data!$S$3&lt;Engine!P$1,0,Data!J86)</f>
        <v>0</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18</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f>IF(Data!$S$3&lt;Engine!P$1,0,Data!J88)</f>
        <v>0</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18</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f>IF(Data!$S$3&lt;Engine!P$1,0,Data!J89)</f>
        <v>0</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18</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f>IF(Data!$S$3&lt;Engine!P$1,0,Data!J90)</f>
        <v>0</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18</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f>IF(Data!$S$3&lt;Engine!P$1,0,Data!J92)</f>
        <v>0</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18</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f>IF(Data!$S$3&lt;Engine!P$1,0,Data!J93)</f>
        <v>0</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18</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f>IF(Data!$S$3&lt;Engine!P$1,0,Data!J94)</f>
        <v>0</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18</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f>IF(Data!$S$3&lt;Engine!P$1,0,Data!J95)</f>
        <v>0</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18</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f>IF(Data!$S$3&lt;Engine!P$1,0,Data!J87)</f>
        <v>0</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18</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f>IF(Data!$S$3&lt;Engine!P$1,0,Data!J91)</f>
        <v>0</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18</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34</v>
      </c>
      <c r="C95" s="113">
        <f t="shared" si="22"/>
        <v>90.033390998999991</v>
      </c>
      <c r="D95">
        <f>RANK(AA95,AA:AA)</f>
        <v>34</v>
      </c>
      <c r="E95" s="3" t="str">
        <f>IF(H95="ZZZZZZ Suspend","",IF(D95&lt;B95,AD$3,IF(D95&gt;B95,AD$4,AD$5)))</f>
        <v>u</v>
      </c>
      <c r="F95" t="str">
        <f>IF(D95&gt;B95,D95-B95,IF(D95&lt;B95,B95-D95,""))</f>
        <v/>
      </c>
      <c r="G95">
        <v>999</v>
      </c>
      <c r="H95" t="str">
        <f>Data!A96</f>
        <v>***Footy Tipper***</v>
      </c>
      <c r="I95" s="2" t="str">
        <f>Data!C96</f>
        <v>Knights</v>
      </c>
      <c r="J95" s="2" t="str">
        <f>Data!D96</f>
        <v>Broncos</v>
      </c>
      <c r="K95" s="2" t="str">
        <f>Data!E96</f>
        <v>Sea Eagles</v>
      </c>
      <c r="L95" s="2" t="str">
        <f>IF(Data!$S$3&lt;Engine!L$1,0,Data!F96)</f>
        <v>Storm</v>
      </c>
      <c r="M95" s="2" t="str">
        <f>IF(Data!$S$3&lt;Engine!M$1,0,Data!G96)</f>
        <v>Sharks</v>
      </c>
      <c r="N95" s="2" t="str">
        <f>IF(Data!$S$3&lt;Engine!N$1,0,Data!H96)</f>
        <v>Panthers</v>
      </c>
      <c r="O95" s="2" t="str">
        <f>IF(Data!$S$3&lt;Engine!O$1,0,Data!I96)</f>
        <v>Eels</v>
      </c>
      <c r="P95" s="2">
        <f>IF(Data!$S$3&lt;Engine!P$1,0,Data!J96)</f>
        <v>0</v>
      </c>
      <c r="Q95" s="2" t="str">
        <f>Data!K96</f>
        <v>Broncos</v>
      </c>
      <c r="R95" s="2">
        <f>Data!L96</f>
        <v>90</v>
      </c>
      <c r="S95" s="2">
        <f>Data!M96</f>
        <v>3339</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Y95">
        <f>R95+SUM(T95:V95)</f>
        <v>91</v>
      </c>
      <c r="Z95">
        <f>S95+X95</f>
        <v>3373</v>
      </c>
      <c r="AA95" s="113">
        <f t="shared" si="27"/>
        <v>91.033730998999999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34</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2</v>
      </c>
      <c r="AL95">
        <f t="shared" ref="AL95" si="49">IF(I95="","",SUM(AG95:AK95))</f>
        <v>11</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152</v>
      </c>
      <c r="D3" t="s">
        <v>125</v>
      </c>
      <c r="E3" t="s">
        <v>129</v>
      </c>
      <c r="F3" t="s">
        <v>126</v>
      </c>
      <c r="G3" t="s">
        <v>131</v>
      </c>
      <c r="H3" t="s">
        <v>122</v>
      </c>
      <c r="I3" t="s">
        <v>147</v>
      </c>
      <c r="J3" t="s">
        <v>84</v>
      </c>
      <c r="K3" t="s">
        <v>122</v>
      </c>
      <c r="L3">
        <v>104</v>
      </c>
      <c r="M3">
        <v>3631</v>
      </c>
      <c r="N3" t="s">
        <v>153</v>
      </c>
      <c r="O3" t="s">
        <v>152</v>
      </c>
      <c r="P3" t="s">
        <v>133</v>
      </c>
      <c r="Q3" t="s">
        <v>154</v>
      </c>
      <c r="R3">
        <v>20</v>
      </c>
      <c r="S3">
        <v>7</v>
      </c>
    </row>
    <row r="4" spans="1:19" x14ac:dyDescent="0.3">
      <c r="A4" t="s">
        <v>155</v>
      </c>
      <c r="B4">
        <v>0</v>
      </c>
      <c r="C4" t="s">
        <v>84</v>
      </c>
      <c r="D4" t="s">
        <v>84</v>
      </c>
      <c r="E4" t="s">
        <v>84</v>
      </c>
      <c r="F4" t="s">
        <v>84</v>
      </c>
      <c r="G4" t="s">
        <v>84</v>
      </c>
      <c r="H4" t="s">
        <v>84</v>
      </c>
      <c r="I4" t="s">
        <v>84</v>
      </c>
      <c r="J4" t="s">
        <v>84</v>
      </c>
      <c r="K4" t="s">
        <v>84</v>
      </c>
      <c r="L4">
        <v>39</v>
      </c>
      <c r="M4">
        <v>2855</v>
      </c>
      <c r="N4" t="s">
        <v>156</v>
      </c>
      <c r="O4" t="s">
        <v>132</v>
      </c>
      <c r="P4" t="s">
        <v>125</v>
      </c>
      <c r="Q4" t="s">
        <v>157</v>
      </c>
    </row>
    <row r="5" spans="1:19" x14ac:dyDescent="0.3">
      <c r="A5" t="s">
        <v>158</v>
      </c>
      <c r="B5">
        <v>1</v>
      </c>
      <c r="C5" t="s">
        <v>133</v>
      </c>
      <c r="D5" t="s">
        <v>125</v>
      </c>
      <c r="E5" t="s">
        <v>127</v>
      </c>
      <c r="F5" t="s">
        <v>126</v>
      </c>
      <c r="G5" t="s">
        <v>131</v>
      </c>
      <c r="H5" t="s">
        <v>122</v>
      </c>
      <c r="I5" t="s">
        <v>159</v>
      </c>
      <c r="J5" t="s">
        <v>84</v>
      </c>
      <c r="K5" t="s">
        <v>126</v>
      </c>
      <c r="L5">
        <v>75</v>
      </c>
      <c r="M5">
        <v>3290</v>
      </c>
      <c r="N5" t="s">
        <v>160</v>
      </c>
      <c r="O5" t="s">
        <v>127</v>
      </c>
      <c r="P5" t="s">
        <v>129</v>
      </c>
      <c r="Q5" t="s">
        <v>161</v>
      </c>
      <c r="R5" t="s">
        <v>162</v>
      </c>
      <c r="S5">
        <v>67</v>
      </c>
    </row>
    <row r="6" spans="1:19" x14ac:dyDescent="0.3">
      <c r="A6" t="s">
        <v>163</v>
      </c>
      <c r="B6">
        <v>0</v>
      </c>
      <c r="C6" t="s">
        <v>84</v>
      </c>
      <c r="D6" t="s">
        <v>84</v>
      </c>
      <c r="E6" t="s">
        <v>84</v>
      </c>
      <c r="F6" t="s">
        <v>84</v>
      </c>
      <c r="G6" t="s">
        <v>84</v>
      </c>
      <c r="H6" t="s">
        <v>84</v>
      </c>
      <c r="I6" t="s">
        <v>84</v>
      </c>
      <c r="J6" t="s">
        <v>84</v>
      </c>
      <c r="K6" t="s">
        <v>84</v>
      </c>
      <c r="L6">
        <v>97</v>
      </c>
      <c r="M6">
        <v>3510</v>
      </c>
      <c r="N6" t="s">
        <v>164</v>
      </c>
      <c r="O6" t="s">
        <v>148</v>
      </c>
      <c r="P6" t="s">
        <v>126</v>
      </c>
      <c r="Q6" t="s">
        <v>165</v>
      </c>
      <c r="R6" t="s">
        <v>106</v>
      </c>
      <c r="S6">
        <v>57</v>
      </c>
    </row>
    <row r="7" spans="1:19" x14ac:dyDescent="0.3">
      <c r="A7" t="s">
        <v>166</v>
      </c>
      <c r="B7">
        <v>1</v>
      </c>
      <c r="C7" t="s">
        <v>152</v>
      </c>
      <c r="D7" t="s">
        <v>125</v>
      </c>
      <c r="E7" t="s">
        <v>129</v>
      </c>
      <c r="F7" t="s">
        <v>126</v>
      </c>
      <c r="G7" t="s">
        <v>131</v>
      </c>
      <c r="H7" t="s">
        <v>122</v>
      </c>
      <c r="I7" t="s">
        <v>147</v>
      </c>
      <c r="J7" t="s">
        <v>84</v>
      </c>
      <c r="K7" t="s">
        <v>152</v>
      </c>
      <c r="L7">
        <v>90</v>
      </c>
      <c r="M7">
        <v>3365</v>
      </c>
      <c r="N7" t="s">
        <v>167</v>
      </c>
      <c r="O7" t="s">
        <v>131</v>
      </c>
      <c r="P7" t="s">
        <v>124</v>
      </c>
      <c r="Q7" t="s">
        <v>168</v>
      </c>
      <c r="R7" t="s">
        <v>48</v>
      </c>
      <c r="S7">
        <v>57</v>
      </c>
    </row>
    <row r="8" spans="1:19" x14ac:dyDescent="0.3">
      <c r="A8" t="s">
        <v>169</v>
      </c>
      <c r="B8">
        <v>1</v>
      </c>
      <c r="C8" t="s">
        <v>152</v>
      </c>
      <c r="D8" t="s">
        <v>125</v>
      </c>
      <c r="E8" t="s">
        <v>127</v>
      </c>
      <c r="F8" t="s">
        <v>126</v>
      </c>
      <c r="G8" t="s">
        <v>124</v>
      </c>
      <c r="H8" t="s">
        <v>122</v>
      </c>
      <c r="I8" t="s">
        <v>147</v>
      </c>
      <c r="J8" t="s">
        <v>84</v>
      </c>
      <c r="K8" t="s">
        <v>125</v>
      </c>
      <c r="L8">
        <v>88</v>
      </c>
      <c r="M8">
        <v>3508</v>
      </c>
      <c r="N8" t="s">
        <v>170</v>
      </c>
      <c r="O8" t="s">
        <v>171</v>
      </c>
      <c r="P8" t="s">
        <v>122</v>
      </c>
      <c r="Q8" t="s">
        <v>172</v>
      </c>
    </row>
    <row r="9" spans="1:19" x14ac:dyDescent="0.3">
      <c r="A9" t="s">
        <v>173</v>
      </c>
      <c r="B9">
        <v>1</v>
      </c>
      <c r="C9" t="s">
        <v>152</v>
      </c>
      <c r="D9" t="s">
        <v>125</v>
      </c>
      <c r="E9" t="s">
        <v>129</v>
      </c>
      <c r="F9" t="s">
        <v>126</v>
      </c>
      <c r="G9" t="s">
        <v>131</v>
      </c>
      <c r="H9" t="s">
        <v>122</v>
      </c>
      <c r="I9" t="s">
        <v>147</v>
      </c>
      <c r="J9" t="s">
        <v>84</v>
      </c>
      <c r="K9" t="s">
        <v>152</v>
      </c>
      <c r="L9">
        <v>114</v>
      </c>
      <c r="M9">
        <v>3636</v>
      </c>
      <c r="N9" t="s">
        <v>174</v>
      </c>
      <c r="O9" t="s">
        <v>147</v>
      </c>
      <c r="P9" t="s">
        <v>159</v>
      </c>
      <c r="Q9" t="s">
        <v>175</v>
      </c>
    </row>
    <row r="10" spans="1:19" x14ac:dyDescent="0.3">
      <c r="A10" t="s">
        <v>176</v>
      </c>
      <c r="B10">
        <v>1</v>
      </c>
      <c r="C10" t="s">
        <v>152</v>
      </c>
      <c r="D10" t="s">
        <v>125</v>
      </c>
      <c r="E10" t="s">
        <v>127</v>
      </c>
      <c r="F10" t="s">
        <v>126</v>
      </c>
      <c r="G10" t="s">
        <v>124</v>
      </c>
      <c r="H10" t="s">
        <v>122</v>
      </c>
      <c r="I10" t="s">
        <v>159</v>
      </c>
      <c r="J10" t="s">
        <v>84</v>
      </c>
      <c r="K10" t="s">
        <v>122</v>
      </c>
      <c r="L10">
        <v>89</v>
      </c>
      <c r="M10">
        <v>3516</v>
      </c>
      <c r="N10" t="s">
        <v>177</v>
      </c>
      <c r="O10" t="s">
        <v>84</v>
      </c>
      <c r="P10" t="s">
        <v>84</v>
      </c>
      <c r="Q10" t="s">
        <v>178</v>
      </c>
    </row>
    <row r="11" spans="1:19" x14ac:dyDescent="0.3">
      <c r="A11" t="s">
        <v>179</v>
      </c>
      <c r="B11">
        <v>0</v>
      </c>
      <c r="C11" t="s">
        <v>84</v>
      </c>
      <c r="D11" t="s">
        <v>84</v>
      </c>
      <c r="E11" t="s">
        <v>84</v>
      </c>
      <c r="F11" t="s">
        <v>84</v>
      </c>
      <c r="G11" t="s">
        <v>84</v>
      </c>
      <c r="H11" t="s">
        <v>84</v>
      </c>
      <c r="I11" t="s">
        <v>84</v>
      </c>
      <c r="J11" t="s">
        <v>84</v>
      </c>
      <c r="K11" t="s">
        <v>84</v>
      </c>
      <c r="L11">
        <v>33</v>
      </c>
      <c r="M11">
        <v>2821</v>
      </c>
    </row>
    <row r="12" spans="1:19" x14ac:dyDescent="0.3">
      <c r="A12" t="s">
        <v>180</v>
      </c>
      <c r="B12">
        <v>1</v>
      </c>
      <c r="C12" t="s">
        <v>152</v>
      </c>
      <c r="D12" t="s">
        <v>125</v>
      </c>
      <c r="E12" t="s">
        <v>127</v>
      </c>
      <c r="F12" t="s">
        <v>126</v>
      </c>
      <c r="G12" t="s">
        <v>131</v>
      </c>
      <c r="H12" t="s">
        <v>122</v>
      </c>
      <c r="I12" t="s">
        <v>147</v>
      </c>
      <c r="J12" t="s">
        <v>84</v>
      </c>
      <c r="K12" t="s">
        <v>125</v>
      </c>
      <c r="L12">
        <v>71</v>
      </c>
      <c r="M12">
        <v>3206</v>
      </c>
    </row>
    <row r="13" spans="1:19" x14ac:dyDescent="0.3">
      <c r="A13" t="s">
        <v>181</v>
      </c>
      <c r="B13">
        <v>1</v>
      </c>
      <c r="C13" t="s">
        <v>152</v>
      </c>
      <c r="D13" t="s">
        <v>125</v>
      </c>
      <c r="E13" t="s">
        <v>129</v>
      </c>
      <c r="F13" t="s">
        <v>126</v>
      </c>
      <c r="G13" t="s">
        <v>131</v>
      </c>
      <c r="H13" t="s">
        <v>122</v>
      </c>
      <c r="I13" t="s">
        <v>147</v>
      </c>
      <c r="J13" t="s">
        <v>84</v>
      </c>
      <c r="K13" t="s">
        <v>125</v>
      </c>
      <c r="L13">
        <v>86</v>
      </c>
      <c r="M13">
        <v>3486</v>
      </c>
    </row>
    <row r="14" spans="1:19" x14ac:dyDescent="0.3">
      <c r="A14" t="s">
        <v>182</v>
      </c>
      <c r="B14">
        <v>1</v>
      </c>
      <c r="C14" t="s">
        <v>152</v>
      </c>
      <c r="D14" t="s">
        <v>125</v>
      </c>
      <c r="E14" t="s">
        <v>129</v>
      </c>
      <c r="F14" t="s">
        <v>126</v>
      </c>
      <c r="G14" t="s">
        <v>124</v>
      </c>
      <c r="H14" t="s">
        <v>122</v>
      </c>
      <c r="I14" t="s">
        <v>147</v>
      </c>
      <c r="J14" t="s">
        <v>84</v>
      </c>
      <c r="K14" t="s">
        <v>125</v>
      </c>
      <c r="L14">
        <v>74</v>
      </c>
      <c r="M14">
        <v>3350</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152</v>
      </c>
      <c r="D16" t="s">
        <v>125</v>
      </c>
      <c r="E16" t="s">
        <v>129</v>
      </c>
      <c r="F16" t="s">
        <v>126</v>
      </c>
      <c r="G16" t="s">
        <v>124</v>
      </c>
      <c r="H16" t="s">
        <v>122</v>
      </c>
      <c r="I16" t="s">
        <v>147</v>
      </c>
      <c r="J16" t="s">
        <v>84</v>
      </c>
      <c r="K16" t="s">
        <v>152</v>
      </c>
      <c r="L16">
        <v>112</v>
      </c>
      <c r="M16">
        <v>3579</v>
      </c>
    </row>
    <row r="17" spans="1:13" x14ac:dyDescent="0.3">
      <c r="A17" t="s">
        <v>185</v>
      </c>
      <c r="B17">
        <v>1</v>
      </c>
      <c r="C17" t="s">
        <v>152</v>
      </c>
      <c r="D17" t="s">
        <v>125</v>
      </c>
      <c r="E17" t="s">
        <v>129</v>
      </c>
      <c r="F17" t="s">
        <v>148</v>
      </c>
      <c r="G17" t="s">
        <v>124</v>
      </c>
      <c r="H17" t="s">
        <v>122</v>
      </c>
      <c r="I17" t="s">
        <v>147</v>
      </c>
      <c r="J17" t="s">
        <v>84</v>
      </c>
      <c r="K17" t="s">
        <v>122</v>
      </c>
      <c r="L17">
        <v>83</v>
      </c>
      <c r="M17">
        <v>3410</v>
      </c>
    </row>
    <row r="18" spans="1:13" x14ac:dyDescent="0.3">
      <c r="A18" t="s">
        <v>186</v>
      </c>
      <c r="B18">
        <v>1</v>
      </c>
      <c r="C18" t="s">
        <v>152</v>
      </c>
      <c r="D18" t="s">
        <v>125</v>
      </c>
      <c r="E18" t="s">
        <v>127</v>
      </c>
      <c r="F18" t="s">
        <v>126</v>
      </c>
      <c r="G18" t="s">
        <v>124</v>
      </c>
      <c r="H18" t="s">
        <v>122</v>
      </c>
      <c r="I18" t="s">
        <v>147</v>
      </c>
      <c r="J18" t="s">
        <v>84</v>
      </c>
      <c r="K18" t="s">
        <v>125</v>
      </c>
      <c r="L18">
        <v>100</v>
      </c>
      <c r="M18">
        <v>3488</v>
      </c>
    </row>
    <row r="19" spans="1:13" x14ac:dyDescent="0.3">
      <c r="A19" t="s">
        <v>187</v>
      </c>
      <c r="B19">
        <v>1</v>
      </c>
      <c r="C19" t="s">
        <v>152</v>
      </c>
      <c r="D19" t="s">
        <v>125</v>
      </c>
      <c r="E19" t="s">
        <v>127</v>
      </c>
      <c r="F19" t="s">
        <v>126</v>
      </c>
      <c r="G19" t="s">
        <v>124</v>
      </c>
      <c r="H19" t="s">
        <v>122</v>
      </c>
      <c r="I19" t="s">
        <v>159</v>
      </c>
      <c r="J19" t="s">
        <v>84</v>
      </c>
      <c r="K19" t="s">
        <v>152</v>
      </c>
      <c r="L19">
        <v>94</v>
      </c>
      <c r="M19">
        <v>3581</v>
      </c>
    </row>
    <row r="20" spans="1:13" x14ac:dyDescent="0.3">
      <c r="A20" t="s">
        <v>188</v>
      </c>
      <c r="B20">
        <v>1</v>
      </c>
      <c r="C20" t="s">
        <v>152</v>
      </c>
      <c r="D20" t="s">
        <v>125</v>
      </c>
      <c r="E20" t="s">
        <v>127</v>
      </c>
      <c r="F20" t="s">
        <v>126</v>
      </c>
      <c r="G20" t="s">
        <v>131</v>
      </c>
      <c r="H20" t="s">
        <v>122</v>
      </c>
      <c r="I20" t="s">
        <v>147</v>
      </c>
      <c r="J20" t="s">
        <v>84</v>
      </c>
      <c r="K20" t="s">
        <v>122</v>
      </c>
      <c r="L20">
        <v>81</v>
      </c>
      <c r="M20">
        <v>3238</v>
      </c>
    </row>
    <row r="21" spans="1:13" x14ac:dyDescent="0.3">
      <c r="A21" t="s">
        <v>189</v>
      </c>
      <c r="B21">
        <v>1</v>
      </c>
      <c r="C21" t="s">
        <v>152</v>
      </c>
      <c r="D21" t="s">
        <v>125</v>
      </c>
      <c r="E21" t="s">
        <v>127</v>
      </c>
      <c r="F21" t="s">
        <v>126</v>
      </c>
      <c r="G21" t="s">
        <v>131</v>
      </c>
      <c r="H21" t="s">
        <v>122</v>
      </c>
      <c r="I21" t="s">
        <v>159</v>
      </c>
      <c r="J21" t="s">
        <v>84</v>
      </c>
      <c r="K21" t="s">
        <v>122</v>
      </c>
      <c r="L21">
        <v>77</v>
      </c>
      <c r="M21">
        <v>3290</v>
      </c>
    </row>
    <row r="22" spans="1:13" x14ac:dyDescent="0.3">
      <c r="A22" t="s">
        <v>190</v>
      </c>
      <c r="B22">
        <v>1</v>
      </c>
      <c r="C22" t="s">
        <v>152</v>
      </c>
      <c r="D22" t="s">
        <v>125</v>
      </c>
      <c r="E22" t="s">
        <v>127</v>
      </c>
      <c r="F22" t="s">
        <v>126</v>
      </c>
      <c r="G22" t="s">
        <v>131</v>
      </c>
      <c r="H22" t="s">
        <v>122</v>
      </c>
      <c r="I22" t="s">
        <v>147</v>
      </c>
      <c r="J22" t="s">
        <v>84</v>
      </c>
      <c r="K22" t="s">
        <v>122</v>
      </c>
      <c r="L22">
        <v>84</v>
      </c>
      <c r="M22">
        <v>3354</v>
      </c>
    </row>
    <row r="23" spans="1:13" x14ac:dyDescent="0.3">
      <c r="A23" t="s">
        <v>191</v>
      </c>
      <c r="B23">
        <v>1</v>
      </c>
      <c r="C23" t="s">
        <v>152</v>
      </c>
      <c r="D23" t="s">
        <v>125</v>
      </c>
      <c r="E23" t="s">
        <v>129</v>
      </c>
      <c r="F23" t="s">
        <v>126</v>
      </c>
      <c r="G23" t="s">
        <v>131</v>
      </c>
      <c r="H23" t="s">
        <v>122</v>
      </c>
      <c r="I23" t="s">
        <v>147</v>
      </c>
      <c r="J23" t="s">
        <v>84</v>
      </c>
      <c r="K23" t="s">
        <v>122</v>
      </c>
      <c r="L23">
        <v>110</v>
      </c>
      <c r="M23">
        <v>3625</v>
      </c>
    </row>
    <row r="24" spans="1:13" x14ac:dyDescent="0.3">
      <c r="A24" t="s">
        <v>192</v>
      </c>
      <c r="B24">
        <v>0</v>
      </c>
      <c r="C24" t="s">
        <v>84</v>
      </c>
      <c r="D24" t="s">
        <v>84</v>
      </c>
      <c r="E24" t="s">
        <v>84</v>
      </c>
      <c r="F24" t="s">
        <v>84</v>
      </c>
      <c r="G24" t="s">
        <v>84</v>
      </c>
      <c r="H24" t="s">
        <v>84</v>
      </c>
      <c r="I24" t="s">
        <v>84</v>
      </c>
      <c r="J24" t="s">
        <v>84</v>
      </c>
      <c r="K24" t="s">
        <v>84</v>
      </c>
      <c r="L24">
        <v>39</v>
      </c>
      <c r="M24">
        <v>2893</v>
      </c>
    </row>
    <row r="25" spans="1:13" x14ac:dyDescent="0.3">
      <c r="A25" t="s">
        <v>193</v>
      </c>
      <c r="B25">
        <v>1</v>
      </c>
      <c r="C25" t="s">
        <v>152</v>
      </c>
      <c r="D25" t="s">
        <v>125</v>
      </c>
      <c r="E25" t="s">
        <v>129</v>
      </c>
      <c r="F25" t="s">
        <v>126</v>
      </c>
      <c r="G25" t="s">
        <v>124</v>
      </c>
      <c r="H25" t="s">
        <v>122</v>
      </c>
      <c r="I25" t="s">
        <v>147</v>
      </c>
      <c r="J25" t="s">
        <v>84</v>
      </c>
      <c r="K25" t="s">
        <v>122</v>
      </c>
      <c r="L25">
        <v>92</v>
      </c>
      <c r="M25">
        <v>3562</v>
      </c>
    </row>
    <row r="26" spans="1:13" x14ac:dyDescent="0.3">
      <c r="A26" t="s">
        <v>194</v>
      </c>
      <c r="B26">
        <v>1</v>
      </c>
      <c r="C26" t="s">
        <v>152</v>
      </c>
      <c r="D26" t="s">
        <v>125</v>
      </c>
      <c r="E26" t="s">
        <v>129</v>
      </c>
      <c r="F26" t="s">
        <v>126</v>
      </c>
      <c r="G26" t="s">
        <v>131</v>
      </c>
      <c r="H26" t="s">
        <v>122</v>
      </c>
      <c r="I26" t="s">
        <v>147</v>
      </c>
      <c r="J26" t="s">
        <v>84</v>
      </c>
      <c r="K26" t="s">
        <v>152</v>
      </c>
      <c r="L26">
        <v>97</v>
      </c>
      <c r="M26">
        <v>3506</v>
      </c>
    </row>
    <row r="27" spans="1:13" x14ac:dyDescent="0.3">
      <c r="A27" t="s">
        <v>195</v>
      </c>
      <c r="B27">
        <v>0</v>
      </c>
      <c r="C27" t="s">
        <v>84</v>
      </c>
      <c r="D27" t="s">
        <v>84</v>
      </c>
      <c r="E27" t="s">
        <v>84</v>
      </c>
      <c r="F27" t="s">
        <v>84</v>
      </c>
      <c r="G27" t="s">
        <v>84</v>
      </c>
      <c r="H27" t="s">
        <v>84</v>
      </c>
      <c r="I27" t="s">
        <v>84</v>
      </c>
      <c r="J27" t="s">
        <v>84</v>
      </c>
      <c r="K27" t="s">
        <v>84</v>
      </c>
      <c r="L27">
        <v>54</v>
      </c>
      <c r="M27">
        <v>2943</v>
      </c>
    </row>
    <row r="28" spans="1:13" x14ac:dyDescent="0.3">
      <c r="A28" t="s">
        <v>196</v>
      </c>
      <c r="B28">
        <v>1</v>
      </c>
      <c r="C28" t="s">
        <v>152</v>
      </c>
      <c r="D28" t="s">
        <v>125</v>
      </c>
      <c r="E28" t="s">
        <v>129</v>
      </c>
      <c r="F28" t="s">
        <v>126</v>
      </c>
      <c r="G28" t="s">
        <v>124</v>
      </c>
      <c r="H28" t="s">
        <v>122</v>
      </c>
      <c r="I28" t="s">
        <v>147</v>
      </c>
      <c r="J28" t="s">
        <v>84</v>
      </c>
      <c r="K28" t="s">
        <v>152</v>
      </c>
      <c r="L28">
        <v>113</v>
      </c>
      <c r="M28">
        <v>3641</v>
      </c>
    </row>
    <row r="29" spans="1:13" x14ac:dyDescent="0.3">
      <c r="A29" t="s">
        <v>197</v>
      </c>
      <c r="B29">
        <v>1</v>
      </c>
      <c r="C29" t="s">
        <v>152</v>
      </c>
      <c r="D29" t="s">
        <v>125</v>
      </c>
      <c r="E29" t="s">
        <v>129</v>
      </c>
      <c r="F29" t="s">
        <v>148</v>
      </c>
      <c r="G29" t="s">
        <v>131</v>
      </c>
      <c r="H29" t="s">
        <v>122</v>
      </c>
      <c r="I29" t="s">
        <v>147</v>
      </c>
      <c r="J29" t="s">
        <v>84</v>
      </c>
      <c r="K29" t="s">
        <v>122</v>
      </c>
      <c r="L29">
        <v>80</v>
      </c>
      <c r="M29">
        <v>3338</v>
      </c>
    </row>
    <row r="30" spans="1:13" x14ac:dyDescent="0.3">
      <c r="A30" t="s">
        <v>198</v>
      </c>
      <c r="B30">
        <v>1</v>
      </c>
      <c r="C30" t="s">
        <v>152</v>
      </c>
      <c r="D30" t="s">
        <v>125</v>
      </c>
      <c r="E30" t="s">
        <v>129</v>
      </c>
      <c r="F30" t="s">
        <v>126</v>
      </c>
      <c r="G30" t="s">
        <v>131</v>
      </c>
      <c r="H30" t="s">
        <v>122</v>
      </c>
      <c r="I30" t="s">
        <v>147</v>
      </c>
      <c r="J30" t="s">
        <v>84</v>
      </c>
      <c r="K30" t="s">
        <v>152</v>
      </c>
      <c r="L30">
        <v>114</v>
      </c>
      <c r="M30">
        <v>3621</v>
      </c>
    </row>
    <row r="31" spans="1:13" x14ac:dyDescent="0.3">
      <c r="A31" t="s">
        <v>199</v>
      </c>
      <c r="B31">
        <v>1</v>
      </c>
      <c r="C31" t="s">
        <v>152</v>
      </c>
      <c r="D31" t="s">
        <v>132</v>
      </c>
      <c r="E31" t="s">
        <v>129</v>
      </c>
      <c r="F31" t="s">
        <v>126</v>
      </c>
      <c r="G31" t="s">
        <v>131</v>
      </c>
      <c r="H31" t="s">
        <v>122</v>
      </c>
      <c r="I31" t="s">
        <v>147</v>
      </c>
      <c r="J31" t="s">
        <v>84</v>
      </c>
      <c r="K31" t="s">
        <v>152</v>
      </c>
      <c r="L31">
        <v>98</v>
      </c>
      <c r="M31">
        <v>3515</v>
      </c>
    </row>
    <row r="32" spans="1:13" x14ac:dyDescent="0.3">
      <c r="A32" t="s">
        <v>200</v>
      </c>
      <c r="B32">
        <v>1</v>
      </c>
      <c r="C32" t="s">
        <v>133</v>
      </c>
      <c r="D32" t="s">
        <v>125</v>
      </c>
      <c r="E32" t="s">
        <v>127</v>
      </c>
      <c r="F32" t="s">
        <v>148</v>
      </c>
      <c r="G32" t="s">
        <v>124</v>
      </c>
      <c r="H32" t="s">
        <v>122</v>
      </c>
      <c r="I32" t="s">
        <v>147</v>
      </c>
      <c r="J32" t="s">
        <v>84</v>
      </c>
      <c r="K32" t="s">
        <v>133</v>
      </c>
      <c r="L32">
        <v>68</v>
      </c>
      <c r="M32">
        <v>3148</v>
      </c>
    </row>
    <row r="33" spans="1:13" x14ac:dyDescent="0.3">
      <c r="A33" t="s">
        <v>201</v>
      </c>
      <c r="B33">
        <v>1</v>
      </c>
      <c r="C33" t="s">
        <v>152</v>
      </c>
      <c r="D33" t="s">
        <v>125</v>
      </c>
      <c r="E33" t="s">
        <v>127</v>
      </c>
      <c r="F33" t="s">
        <v>148</v>
      </c>
      <c r="G33" t="s">
        <v>131</v>
      </c>
      <c r="H33" t="s">
        <v>171</v>
      </c>
      <c r="I33" t="s">
        <v>147</v>
      </c>
      <c r="J33" t="s">
        <v>84</v>
      </c>
      <c r="K33" t="s">
        <v>125</v>
      </c>
      <c r="L33">
        <v>77</v>
      </c>
      <c r="M33">
        <v>3385</v>
      </c>
    </row>
    <row r="34" spans="1:13" x14ac:dyDescent="0.3">
      <c r="A34" t="s">
        <v>202</v>
      </c>
      <c r="B34">
        <v>1</v>
      </c>
      <c r="C34" t="s">
        <v>152</v>
      </c>
      <c r="D34" t="s">
        <v>125</v>
      </c>
      <c r="E34" t="s">
        <v>129</v>
      </c>
      <c r="F34" t="s">
        <v>126</v>
      </c>
      <c r="G34" t="s">
        <v>131</v>
      </c>
      <c r="H34" t="s">
        <v>122</v>
      </c>
      <c r="I34" t="s">
        <v>147</v>
      </c>
      <c r="J34" t="s">
        <v>84</v>
      </c>
      <c r="K34" t="s">
        <v>125</v>
      </c>
      <c r="L34">
        <v>81</v>
      </c>
      <c r="M34">
        <v>3203</v>
      </c>
    </row>
    <row r="35" spans="1:13" x14ac:dyDescent="0.3">
      <c r="A35" t="s">
        <v>203</v>
      </c>
      <c r="B35">
        <v>0</v>
      </c>
      <c r="C35" t="s">
        <v>84</v>
      </c>
      <c r="D35" t="s">
        <v>84</v>
      </c>
      <c r="E35" t="s">
        <v>84</v>
      </c>
      <c r="F35" t="s">
        <v>84</v>
      </c>
      <c r="G35" t="s">
        <v>84</v>
      </c>
      <c r="H35" t="s">
        <v>84</v>
      </c>
      <c r="I35" t="s">
        <v>84</v>
      </c>
      <c r="J35" t="s">
        <v>84</v>
      </c>
      <c r="K35" t="s">
        <v>84</v>
      </c>
      <c r="L35">
        <v>75</v>
      </c>
      <c r="M35">
        <v>3126</v>
      </c>
    </row>
    <row r="36" spans="1:13" x14ac:dyDescent="0.3">
      <c r="A36" t="s">
        <v>204</v>
      </c>
      <c r="B36">
        <v>1</v>
      </c>
      <c r="C36" t="s">
        <v>152</v>
      </c>
      <c r="D36" t="s">
        <v>125</v>
      </c>
      <c r="E36" t="s">
        <v>127</v>
      </c>
      <c r="F36" t="s">
        <v>126</v>
      </c>
      <c r="G36" t="s">
        <v>124</v>
      </c>
      <c r="H36" t="s">
        <v>122</v>
      </c>
      <c r="I36" t="s">
        <v>147</v>
      </c>
      <c r="J36" t="s">
        <v>84</v>
      </c>
      <c r="K36" t="s">
        <v>125</v>
      </c>
      <c r="L36">
        <v>82</v>
      </c>
      <c r="M36">
        <v>3359</v>
      </c>
    </row>
    <row r="37" spans="1:13" x14ac:dyDescent="0.3">
      <c r="A37" t="s">
        <v>205</v>
      </c>
      <c r="B37">
        <v>1</v>
      </c>
      <c r="C37" t="s">
        <v>133</v>
      </c>
      <c r="D37" t="s">
        <v>132</v>
      </c>
      <c r="E37" t="s">
        <v>127</v>
      </c>
      <c r="F37" t="s">
        <v>126</v>
      </c>
      <c r="G37" t="s">
        <v>131</v>
      </c>
      <c r="H37" t="s">
        <v>122</v>
      </c>
      <c r="I37" t="s">
        <v>147</v>
      </c>
      <c r="J37" t="s">
        <v>84</v>
      </c>
      <c r="K37" t="s">
        <v>122</v>
      </c>
      <c r="L37">
        <v>84</v>
      </c>
      <c r="M37">
        <v>3284</v>
      </c>
    </row>
    <row r="38" spans="1:13" x14ac:dyDescent="0.3">
      <c r="A38" t="s">
        <v>206</v>
      </c>
      <c r="B38">
        <v>1</v>
      </c>
      <c r="C38" t="s">
        <v>152</v>
      </c>
      <c r="D38" t="s">
        <v>125</v>
      </c>
      <c r="E38" t="s">
        <v>129</v>
      </c>
      <c r="F38" t="s">
        <v>126</v>
      </c>
      <c r="G38" t="s">
        <v>124</v>
      </c>
      <c r="H38" t="s">
        <v>122</v>
      </c>
      <c r="I38" t="s">
        <v>147</v>
      </c>
      <c r="J38" t="s">
        <v>84</v>
      </c>
      <c r="K38" t="s">
        <v>122</v>
      </c>
      <c r="L38">
        <v>108</v>
      </c>
      <c r="M38">
        <v>3706</v>
      </c>
    </row>
    <row r="39" spans="1:13" x14ac:dyDescent="0.3">
      <c r="A39" t="s">
        <v>207</v>
      </c>
      <c r="B39">
        <v>1</v>
      </c>
      <c r="C39" t="s">
        <v>152</v>
      </c>
      <c r="D39" t="s">
        <v>125</v>
      </c>
      <c r="E39" t="s">
        <v>129</v>
      </c>
      <c r="F39" t="s">
        <v>126</v>
      </c>
      <c r="G39" t="s">
        <v>131</v>
      </c>
      <c r="H39" t="s">
        <v>122</v>
      </c>
      <c r="I39" t="s">
        <v>147</v>
      </c>
      <c r="J39" t="s">
        <v>84</v>
      </c>
      <c r="K39" t="s">
        <v>122</v>
      </c>
      <c r="L39">
        <v>98</v>
      </c>
      <c r="M39">
        <v>3606</v>
      </c>
    </row>
    <row r="40" spans="1:13" x14ac:dyDescent="0.3">
      <c r="A40" t="s">
        <v>208</v>
      </c>
      <c r="B40">
        <v>1</v>
      </c>
      <c r="C40" t="s">
        <v>152</v>
      </c>
      <c r="D40" t="s">
        <v>125</v>
      </c>
      <c r="E40" t="s">
        <v>127</v>
      </c>
      <c r="F40" t="s">
        <v>126</v>
      </c>
      <c r="G40" t="s">
        <v>131</v>
      </c>
      <c r="H40" t="s">
        <v>122</v>
      </c>
      <c r="I40" t="s">
        <v>147</v>
      </c>
      <c r="J40" t="s">
        <v>84</v>
      </c>
      <c r="K40" t="s">
        <v>122</v>
      </c>
      <c r="L40">
        <v>102</v>
      </c>
      <c r="M40">
        <v>3450</v>
      </c>
    </row>
    <row r="41" spans="1:13" x14ac:dyDescent="0.3">
      <c r="A41" t="s">
        <v>209</v>
      </c>
      <c r="B41">
        <v>1</v>
      </c>
      <c r="C41" t="s">
        <v>152</v>
      </c>
      <c r="D41" t="s">
        <v>125</v>
      </c>
      <c r="E41" t="s">
        <v>129</v>
      </c>
      <c r="F41" t="s">
        <v>126</v>
      </c>
      <c r="G41" t="s">
        <v>124</v>
      </c>
      <c r="H41" t="s">
        <v>122</v>
      </c>
      <c r="I41" t="s">
        <v>147</v>
      </c>
      <c r="J41" t="s">
        <v>84</v>
      </c>
      <c r="K41" t="s">
        <v>125</v>
      </c>
      <c r="L41">
        <v>89</v>
      </c>
      <c r="M41">
        <v>3493</v>
      </c>
    </row>
    <row r="42" spans="1:13" x14ac:dyDescent="0.3">
      <c r="A42" t="s">
        <v>210</v>
      </c>
      <c r="B42">
        <v>1</v>
      </c>
      <c r="C42" t="s">
        <v>152</v>
      </c>
      <c r="D42" t="s">
        <v>125</v>
      </c>
      <c r="E42" t="s">
        <v>129</v>
      </c>
      <c r="F42" t="s">
        <v>126</v>
      </c>
      <c r="G42" t="s">
        <v>131</v>
      </c>
      <c r="H42" t="s">
        <v>171</v>
      </c>
      <c r="I42" t="s">
        <v>159</v>
      </c>
      <c r="J42" t="s">
        <v>84</v>
      </c>
      <c r="K42" t="s">
        <v>125</v>
      </c>
      <c r="L42">
        <v>111</v>
      </c>
      <c r="M42">
        <v>3392</v>
      </c>
    </row>
    <row r="43" spans="1:13" x14ac:dyDescent="0.3">
      <c r="A43" t="s">
        <v>211</v>
      </c>
      <c r="B43">
        <v>1</v>
      </c>
      <c r="C43" t="s">
        <v>152</v>
      </c>
      <c r="D43" t="s">
        <v>125</v>
      </c>
      <c r="E43" t="s">
        <v>127</v>
      </c>
      <c r="F43" t="s">
        <v>126</v>
      </c>
      <c r="G43" t="s">
        <v>124</v>
      </c>
      <c r="H43" t="s">
        <v>122</v>
      </c>
      <c r="I43" t="s">
        <v>147</v>
      </c>
      <c r="J43" t="s">
        <v>84</v>
      </c>
      <c r="K43" t="s">
        <v>147</v>
      </c>
      <c r="L43">
        <v>101</v>
      </c>
      <c r="M43">
        <v>3600</v>
      </c>
    </row>
    <row r="44" spans="1:13" x14ac:dyDescent="0.3">
      <c r="A44" t="s">
        <v>212</v>
      </c>
      <c r="B44">
        <v>1</v>
      </c>
      <c r="C44" t="s">
        <v>152</v>
      </c>
      <c r="D44" t="s">
        <v>132</v>
      </c>
      <c r="E44" t="s">
        <v>129</v>
      </c>
      <c r="F44" t="s">
        <v>148</v>
      </c>
      <c r="G44" t="s">
        <v>131</v>
      </c>
      <c r="H44" t="s">
        <v>122</v>
      </c>
      <c r="I44" t="s">
        <v>147</v>
      </c>
      <c r="J44" t="s">
        <v>84</v>
      </c>
      <c r="K44" t="s">
        <v>152</v>
      </c>
      <c r="L44">
        <v>94</v>
      </c>
      <c r="M44">
        <v>3617</v>
      </c>
    </row>
    <row r="45" spans="1:13" x14ac:dyDescent="0.3">
      <c r="A45" t="s">
        <v>213</v>
      </c>
      <c r="B45">
        <v>0</v>
      </c>
      <c r="C45" t="s">
        <v>84</v>
      </c>
      <c r="D45" t="s">
        <v>84</v>
      </c>
      <c r="E45" t="s">
        <v>84</v>
      </c>
      <c r="F45" t="s">
        <v>84</v>
      </c>
      <c r="G45" t="s">
        <v>84</v>
      </c>
      <c r="H45" t="s">
        <v>84</v>
      </c>
      <c r="I45" t="s">
        <v>84</v>
      </c>
      <c r="J45" t="s">
        <v>84</v>
      </c>
      <c r="K45" t="s">
        <v>84</v>
      </c>
      <c r="L45">
        <v>83</v>
      </c>
      <c r="M45">
        <v>3343</v>
      </c>
    </row>
    <row r="46" spans="1:13" x14ac:dyDescent="0.3">
      <c r="A46" t="s">
        <v>214</v>
      </c>
      <c r="B46">
        <v>0</v>
      </c>
      <c r="C46" t="s">
        <v>84</v>
      </c>
      <c r="D46" t="s">
        <v>84</v>
      </c>
      <c r="E46" t="s">
        <v>84</v>
      </c>
      <c r="F46" t="s">
        <v>84</v>
      </c>
      <c r="G46" t="s">
        <v>84</v>
      </c>
      <c r="H46" t="s">
        <v>84</v>
      </c>
      <c r="I46" t="s">
        <v>84</v>
      </c>
      <c r="J46" t="s">
        <v>84</v>
      </c>
      <c r="K46" t="s">
        <v>84</v>
      </c>
      <c r="L46">
        <v>8</v>
      </c>
      <c r="M46">
        <v>2616</v>
      </c>
    </row>
    <row r="47" spans="1:13" x14ac:dyDescent="0.3">
      <c r="A47" t="s">
        <v>215</v>
      </c>
      <c r="B47">
        <v>0</v>
      </c>
      <c r="C47" t="s">
        <v>84</v>
      </c>
      <c r="D47" t="s">
        <v>84</v>
      </c>
      <c r="E47" t="s">
        <v>84</v>
      </c>
      <c r="F47" t="s">
        <v>84</v>
      </c>
      <c r="G47" t="s">
        <v>84</v>
      </c>
      <c r="H47" t="s">
        <v>84</v>
      </c>
      <c r="I47" t="s">
        <v>84</v>
      </c>
      <c r="J47" t="s">
        <v>84</v>
      </c>
      <c r="K47" t="s">
        <v>84</v>
      </c>
      <c r="L47">
        <v>23</v>
      </c>
      <c r="M47">
        <v>2745</v>
      </c>
    </row>
    <row r="48" spans="1:13" x14ac:dyDescent="0.3">
      <c r="A48" t="s">
        <v>216</v>
      </c>
      <c r="B48">
        <v>1</v>
      </c>
      <c r="C48" t="s">
        <v>152</v>
      </c>
      <c r="D48" t="s">
        <v>125</v>
      </c>
      <c r="E48" t="s">
        <v>129</v>
      </c>
      <c r="F48" t="s">
        <v>126</v>
      </c>
      <c r="G48" t="s">
        <v>124</v>
      </c>
      <c r="H48" t="s">
        <v>122</v>
      </c>
      <c r="I48" t="s">
        <v>147</v>
      </c>
      <c r="J48" t="s">
        <v>84</v>
      </c>
      <c r="K48" t="s">
        <v>125</v>
      </c>
      <c r="L48">
        <v>81</v>
      </c>
      <c r="M48">
        <v>3392</v>
      </c>
    </row>
    <row r="49" spans="1:13" x14ac:dyDescent="0.3">
      <c r="A49" t="s">
        <v>217</v>
      </c>
      <c r="B49">
        <v>1</v>
      </c>
      <c r="C49" t="s">
        <v>152</v>
      </c>
      <c r="D49" t="s">
        <v>125</v>
      </c>
      <c r="E49" t="s">
        <v>129</v>
      </c>
      <c r="F49" t="s">
        <v>126</v>
      </c>
      <c r="G49" t="s">
        <v>131</v>
      </c>
      <c r="H49" t="s">
        <v>122</v>
      </c>
      <c r="I49" t="s">
        <v>147</v>
      </c>
      <c r="J49" t="s">
        <v>84</v>
      </c>
      <c r="K49" t="s">
        <v>122</v>
      </c>
      <c r="L49">
        <v>109</v>
      </c>
      <c r="M49">
        <v>3617</v>
      </c>
    </row>
    <row r="50" spans="1:13" x14ac:dyDescent="0.3">
      <c r="A50" t="s">
        <v>218</v>
      </c>
      <c r="B50">
        <v>1</v>
      </c>
      <c r="C50" t="s">
        <v>152</v>
      </c>
      <c r="D50" t="s">
        <v>125</v>
      </c>
      <c r="E50" t="s">
        <v>129</v>
      </c>
      <c r="F50" t="s">
        <v>126</v>
      </c>
      <c r="G50" t="s">
        <v>131</v>
      </c>
      <c r="H50" t="s">
        <v>122</v>
      </c>
      <c r="I50" t="s">
        <v>147</v>
      </c>
      <c r="J50" t="s">
        <v>84</v>
      </c>
      <c r="K50" t="s">
        <v>122</v>
      </c>
      <c r="L50">
        <v>83</v>
      </c>
      <c r="M50">
        <v>3517</v>
      </c>
    </row>
    <row r="51" spans="1:13" x14ac:dyDescent="0.3">
      <c r="A51" t="s">
        <v>219</v>
      </c>
      <c r="B51">
        <v>1</v>
      </c>
      <c r="C51" t="s">
        <v>152</v>
      </c>
      <c r="D51" t="s">
        <v>125</v>
      </c>
      <c r="E51" t="s">
        <v>129</v>
      </c>
      <c r="F51" t="s">
        <v>126</v>
      </c>
      <c r="G51" t="s">
        <v>124</v>
      </c>
      <c r="H51" t="s">
        <v>122</v>
      </c>
      <c r="I51" t="s">
        <v>147</v>
      </c>
      <c r="J51" t="s">
        <v>84</v>
      </c>
      <c r="K51" t="s">
        <v>125</v>
      </c>
      <c r="L51">
        <v>86</v>
      </c>
      <c r="M51">
        <v>3319</v>
      </c>
    </row>
    <row r="52" spans="1:13" x14ac:dyDescent="0.3">
      <c r="A52" t="s">
        <v>220</v>
      </c>
      <c r="B52">
        <v>1</v>
      </c>
      <c r="C52" t="s">
        <v>152</v>
      </c>
      <c r="D52" t="s">
        <v>125</v>
      </c>
      <c r="E52" t="s">
        <v>129</v>
      </c>
      <c r="F52" t="s">
        <v>126</v>
      </c>
      <c r="G52" t="s">
        <v>124</v>
      </c>
      <c r="H52" t="s">
        <v>122</v>
      </c>
      <c r="I52" t="s">
        <v>147</v>
      </c>
      <c r="J52" t="s">
        <v>84</v>
      </c>
      <c r="K52" t="s">
        <v>152</v>
      </c>
      <c r="L52">
        <v>106</v>
      </c>
      <c r="M52">
        <v>3568</v>
      </c>
    </row>
    <row r="53" spans="1:13" x14ac:dyDescent="0.3">
      <c r="A53" t="s">
        <v>221</v>
      </c>
      <c r="B53">
        <v>1</v>
      </c>
      <c r="C53" t="s">
        <v>152</v>
      </c>
      <c r="D53" t="s">
        <v>125</v>
      </c>
      <c r="E53" t="s">
        <v>129</v>
      </c>
      <c r="F53" t="s">
        <v>126</v>
      </c>
      <c r="G53" t="s">
        <v>131</v>
      </c>
      <c r="H53" t="s">
        <v>122</v>
      </c>
      <c r="I53" t="s">
        <v>147</v>
      </c>
      <c r="J53" t="s">
        <v>84</v>
      </c>
      <c r="K53" t="s">
        <v>122</v>
      </c>
      <c r="L53">
        <v>99</v>
      </c>
      <c r="M53">
        <v>3572</v>
      </c>
    </row>
    <row r="54" spans="1:13" x14ac:dyDescent="0.3">
      <c r="A54" t="s">
        <v>222</v>
      </c>
      <c r="B54">
        <v>1</v>
      </c>
      <c r="C54" t="s">
        <v>152</v>
      </c>
      <c r="D54" t="s">
        <v>125</v>
      </c>
      <c r="E54" t="s">
        <v>129</v>
      </c>
      <c r="F54" t="s">
        <v>126</v>
      </c>
      <c r="G54" t="s">
        <v>124</v>
      </c>
      <c r="H54" t="s">
        <v>122</v>
      </c>
      <c r="I54" t="s">
        <v>147</v>
      </c>
      <c r="J54" t="s">
        <v>84</v>
      </c>
      <c r="K54" t="s">
        <v>125</v>
      </c>
      <c r="L54">
        <v>100</v>
      </c>
      <c r="M54">
        <v>3462</v>
      </c>
    </row>
    <row r="55" spans="1:13" x14ac:dyDescent="0.3">
      <c r="A55" t="s">
        <v>223</v>
      </c>
      <c r="B55">
        <v>1</v>
      </c>
      <c r="C55" t="s">
        <v>152</v>
      </c>
      <c r="D55" t="s">
        <v>132</v>
      </c>
      <c r="E55" t="s">
        <v>129</v>
      </c>
      <c r="F55" t="s">
        <v>126</v>
      </c>
      <c r="G55" t="s">
        <v>124</v>
      </c>
      <c r="H55" t="s">
        <v>122</v>
      </c>
      <c r="I55" t="s">
        <v>147</v>
      </c>
      <c r="J55" t="s">
        <v>84</v>
      </c>
      <c r="K55" t="s">
        <v>122</v>
      </c>
      <c r="L55">
        <v>96</v>
      </c>
      <c r="M55">
        <v>3449</v>
      </c>
    </row>
    <row r="56" spans="1:13" x14ac:dyDescent="0.3">
      <c r="A56" t="s">
        <v>224</v>
      </c>
      <c r="B56">
        <v>1</v>
      </c>
      <c r="C56" t="s">
        <v>152</v>
      </c>
      <c r="D56" t="s">
        <v>125</v>
      </c>
      <c r="E56" t="s">
        <v>129</v>
      </c>
      <c r="F56" t="s">
        <v>148</v>
      </c>
      <c r="G56" t="s">
        <v>124</v>
      </c>
      <c r="H56" t="s">
        <v>171</v>
      </c>
      <c r="I56" t="s">
        <v>159</v>
      </c>
      <c r="J56" t="s">
        <v>84</v>
      </c>
      <c r="K56" t="s">
        <v>129</v>
      </c>
      <c r="L56">
        <v>85</v>
      </c>
      <c r="M56">
        <v>3315</v>
      </c>
    </row>
    <row r="57" spans="1:13" x14ac:dyDescent="0.3">
      <c r="A57" t="s">
        <v>225</v>
      </c>
      <c r="B57">
        <v>1</v>
      </c>
      <c r="C57" t="s">
        <v>152</v>
      </c>
      <c r="D57" t="s">
        <v>125</v>
      </c>
      <c r="E57" t="s">
        <v>127</v>
      </c>
      <c r="F57" t="s">
        <v>126</v>
      </c>
      <c r="G57" t="s">
        <v>124</v>
      </c>
      <c r="H57" t="s">
        <v>122</v>
      </c>
      <c r="I57" t="s">
        <v>147</v>
      </c>
      <c r="J57" t="s">
        <v>84</v>
      </c>
      <c r="K57" t="s">
        <v>152</v>
      </c>
      <c r="L57">
        <v>95</v>
      </c>
      <c r="M57">
        <v>3580</v>
      </c>
    </row>
    <row r="58" spans="1:13" x14ac:dyDescent="0.3">
      <c r="A58" t="s">
        <v>226</v>
      </c>
      <c r="B58">
        <v>1</v>
      </c>
      <c r="C58" t="s">
        <v>152</v>
      </c>
      <c r="D58" t="s">
        <v>125</v>
      </c>
      <c r="E58" t="s">
        <v>129</v>
      </c>
      <c r="F58" t="s">
        <v>126</v>
      </c>
      <c r="G58" t="s">
        <v>131</v>
      </c>
      <c r="H58" t="s">
        <v>122</v>
      </c>
      <c r="I58" t="s">
        <v>159</v>
      </c>
      <c r="J58" t="s">
        <v>84</v>
      </c>
      <c r="K58" t="s">
        <v>152</v>
      </c>
      <c r="L58">
        <v>111</v>
      </c>
      <c r="M58">
        <v>3494</v>
      </c>
    </row>
    <row r="59" spans="1:13" x14ac:dyDescent="0.3">
      <c r="A59" t="s">
        <v>227</v>
      </c>
      <c r="B59">
        <v>1</v>
      </c>
      <c r="C59" t="s">
        <v>152</v>
      </c>
      <c r="D59" t="s">
        <v>125</v>
      </c>
      <c r="E59" t="s">
        <v>129</v>
      </c>
      <c r="F59" t="s">
        <v>126</v>
      </c>
      <c r="G59" t="s">
        <v>131</v>
      </c>
      <c r="H59" t="s">
        <v>122</v>
      </c>
      <c r="I59" t="s">
        <v>147</v>
      </c>
      <c r="J59" t="s">
        <v>84</v>
      </c>
      <c r="K59" t="s">
        <v>125</v>
      </c>
      <c r="L59">
        <v>78</v>
      </c>
      <c r="M59">
        <v>3525</v>
      </c>
    </row>
    <row r="60" spans="1:13" x14ac:dyDescent="0.3">
      <c r="A60" t="s">
        <v>228</v>
      </c>
      <c r="B60">
        <v>1</v>
      </c>
      <c r="C60" t="s">
        <v>133</v>
      </c>
      <c r="D60" t="s">
        <v>125</v>
      </c>
      <c r="E60" t="s">
        <v>129</v>
      </c>
      <c r="F60" t="s">
        <v>126</v>
      </c>
      <c r="G60" t="s">
        <v>131</v>
      </c>
      <c r="H60" t="s">
        <v>122</v>
      </c>
      <c r="I60" t="s">
        <v>147</v>
      </c>
      <c r="J60" t="s">
        <v>84</v>
      </c>
      <c r="K60" t="s">
        <v>122</v>
      </c>
      <c r="L60">
        <v>95</v>
      </c>
      <c r="M60">
        <v>3526</v>
      </c>
    </row>
    <row r="61" spans="1:13" x14ac:dyDescent="0.3">
      <c r="A61" t="s">
        <v>145</v>
      </c>
      <c r="B61">
        <v>1</v>
      </c>
      <c r="C61" t="s">
        <v>152</v>
      </c>
      <c r="D61" t="s">
        <v>125</v>
      </c>
      <c r="E61" t="s">
        <v>127</v>
      </c>
      <c r="F61" t="s">
        <v>126</v>
      </c>
      <c r="G61" t="s">
        <v>131</v>
      </c>
      <c r="H61" t="s">
        <v>122</v>
      </c>
      <c r="I61" t="s">
        <v>147</v>
      </c>
      <c r="J61" t="s">
        <v>84</v>
      </c>
      <c r="K61" t="s">
        <v>122</v>
      </c>
      <c r="L61">
        <v>110</v>
      </c>
      <c r="M61">
        <v>3531</v>
      </c>
    </row>
    <row r="62" spans="1:13" x14ac:dyDescent="0.3">
      <c r="A62" t="s">
        <v>229</v>
      </c>
      <c r="B62">
        <v>1</v>
      </c>
      <c r="C62" t="s">
        <v>152</v>
      </c>
      <c r="D62" t="s">
        <v>125</v>
      </c>
      <c r="E62" t="s">
        <v>129</v>
      </c>
      <c r="F62" t="s">
        <v>126</v>
      </c>
      <c r="G62" t="s">
        <v>131</v>
      </c>
      <c r="H62" t="s">
        <v>122</v>
      </c>
      <c r="I62" t="s">
        <v>147</v>
      </c>
      <c r="J62" t="s">
        <v>84</v>
      </c>
      <c r="K62" t="s">
        <v>125</v>
      </c>
      <c r="L62">
        <v>114</v>
      </c>
      <c r="M62">
        <v>3586</v>
      </c>
    </row>
    <row r="63" spans="1:13" x14ac:dyDescent="0.3">
      <c r="A63" t="s">
        <v>230</v>
      </c>
      <c r="B63">
        <v>1</v>
      </c>
      <c r="C63" t="s">
        <v>152</v>
      </c>
      <c r="D63" t="s">
        <v>132</v>
      </c>
      <c r="E63" t="s">
        <v>129</v>
      </c>
      <c r="F63" t="s">
        <v>126</v>
      </c>
      <c r="G63" t="s">
        <v>124</v>
      </c>
      <c r="H63" t="s">
        <v>122</v>
      </c>
      <c r="I63" t="s">
        <v>147</v>
      </c>
      <c r="J63" t="s">
        <v>84</v>
      </c>
      <c r="K63" t="s">
        <v>122</v>
      </c>
      <c r="L63">
        <v>72</v>
      </c>
      <c r="M63">
        <v>3282</v>
      </c>
    </row>
    <row r="64" spans="1:13" x14ac:dyDescent="0.3">
      <c r="A64" t="s">
        <v>231</v>
      </c>
      <c r="B64">
        <v>0</v>
      </c>
      <c r="C64" t="s">
        <v>84</v>
      </c>
      <c r="D64" t="s">
        <v>84</v>
      </c>
      <c r="E64" t="s">
        <v>84</v>
      </c>
      <c r="F64" t="s">
        <v>84</v>
      </c>
      <c r="G64" t="s">
        <v>84</v>
      </c>
      <c r="H64" t="s">
        <v>84</v>
      </c>
      <c r="I64" t="s">
        <v>84</v>
      </c>
      <c r="J64" t="s">
        <v>84</v>
      </c>
      <c r="K64" t="s">
        <v>84</v>
      </c>
      <c r="L64">
        <v>11</v>
      </c>
      <c r="M64">
        <v>2636</v>
      </c>
    </row>
    <row r="65" spans="1:13" x14ac:dyDescent="0.3">
      <c r="A65" t="s">
        <v>232</v>
      </c>
      <c r="B65">
        <v>1</v>
      </c>
      <c r="C65" t="s">
        <v>152</v>
      </c>
      <c r="D65" t="s">
        <v>125</v>
      </c>
      <c r="E65" t="s">
        <v>127</v>
      </c>
      <c r="F65" t="s">
        <v>126</v>
      </c>
      <c r="G65" t="s">
        <v>124</v>
      </c>
      <c r="H65" t="s">
        <v>122</v>
      </c>
      <c r="I65" t="s">
        <v>147</v>
      </c>
      <c r="J65" t="s">
        <v>84</v>
      </c>
      <c r="K65" t="s">
        <v>125</v>
      </c>
      <c r="L65">
        <v>90</v>
      </c>
      <c r="M65">
        <v>3512</v>
      </c>
    </row>
    <row r="66" spans="1:13" x14ac:dyDescent="0.3">
      <c r="A66" t="s">
        <v>233</v>
      </c>
      <c r="B66">
        <v>1</v>
      </c>
      <c r="C66" t="s">
        <v>152</v>
      </c>
      <c r="D66" t="s">
        <v>125</v>
      </c>
      <c r="E66" t="s">
        <v>129</v>
      </c>
      <c r="F66" t="s">
        <v>126</v>
      </c>
      <c r="G66" t="s">
        <v>124</v>
      </c>
      <c r="H66" t="s">
        <v>122</v>
      </c>
      <c r="I66" t="s">
        <v>147</v>
      </c>
      <c r="J66" t="s">
        <v>84</v>
      </c>
      <c r="K66" t="s">
        <v>152</v>
      </c>
      <c r="L66">
        <v>112</v>
      </c>
      <c r="M66">
        <v>3569</v>
      </c>
    </row>
    <row r="67" spans="1:13" x14ac:dyDescent="0.3">
      <c r="A67" t="s">
        <v>234</v>
      </c>
      <c r="B67">
        <v>1</v>
      </c>
      <c r="C67" t="s">
        <v>152</v>
      </c>
      <c r="D67" t="s">
        <v>125</v>
      </c>
      <c r="E67" t="s">
        <v>127</v>
      </c>
      <c r="F67" t="s">
        <v>126</v>
      </c>
      <c r="G67" t="s">
        <v>124</v>
      </c>
      <c r="H67" t="s">
        <v>122</v>
      </c>
      <c r="I67" t="s">
        <v>147</v>
      </c>
      <c r="J67" t="s">
        <v>84</v>
      </c>
      <c r="K67" t="s">
        <v>126</v>
      </c>
      <c r="L67">
        <v>85</v>
      </c>
      <c r="M67">
        <v>3508</v>
      </c>
    </row>
    <row r="68" spans="1:13" x14ac:dyDescent="0.3">
      <c r="A68" t="s">
        <v>235</v>
      </c>
      <c r="B68">
        <v>1</v>
      </c>
      <c r="C68" t="s">
        <v>152</v>
      </c>
      <c r="D68" t="s">
        <v>125</v>
      </c>
      <c r="E68" t="s">
        <v>129</v>
      </c>
      <c r="F68" t="s">
        <v>126</v>
      </c>
      <c r="G68" t="s">
        <v>131</v>
      </c>
      <c r="H68" t="s">
        <v>122</v>
      </c>
      <c r="I68" t="s">
        <v>147</v>
      </c>
      <c r="J68" t="s">
        <v>84</v>
      </c>
      <c r="K68" t="s">
        <v>122</v>
      </c>
      <c r="L68">
        <v>81</v>
      </c>
      <c r="M68">
        <v>3289</v>
      </c>
    </row>
    <row r="69" spans="1:13" x14ac:dyDescent="0.3">
      <c r="A69" t="s">
        <v>236</v>
      </c>
      <c r="B69">
        <v>1</v>
      </c>
      <c r="C69" t="s">
        <v>152</v>
      </c>
      <c r="D69" t="s">
        <v>125</v>
      </c>
      <c r="E69" t="s">
        <v>127</v>
      </c>
      <c r="F69" t="s">
        <v>126</v>
      </c>
      <c r="G69" t="s">
        <v>131</v>
      </c>
      <c r="H69" t="s">
        <v>122</v>
      </c>
      <c r="I69" t="s">
        <v>147</v>
      </c>
      <c r="J69" t="s">
        <v>84</v>
      </c>
      <c r="K69" t="s">
        <v>152</v>
      </c>
      <c r="L69">
        <v>92</v>
      </c>
      <c r="M69">
        <v>3467</v>
      </c>
    </row>
    <row r="70" spans="1:13" x14ac:dyDescent="0.3">
      <c r="A70" t="s">
        <v>237</v>
      </c>
      <c r="B70">
        <v>1</v>
      </c>
      <c r="C70" t="s">
        <v>152</v>
      </c>
      <c r="D70" t="s">
        <v>125</v>
      </c>
      <c r="E70" t="s">
        <v>129</v>
      </c>
      <c r="F70" t="s">
        <v>148</v>
      </c>
      <c r="G70" t="s">
        <v>124</v>
      </c>
      <c r="H70" t="s">
        <v>122</v>
      </c>
      <c r="I70" t="s">
        <v>147</v>
      </c>
      <c r="J70" t="s">
        <v>84</v>
      </c>
      <c r="K70" t="s">
        <v>147</v>
      </c>
      <c r="L70">
        <v>98</v>
      </c>
      <c r="M70">
        <v>3374</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152</v>
      </c>
      <c r="D96" t="s">
        <v>125</v>
      </c>
      <c r="E96" t="s">
        <v>127</v>
      </c>
      <c r="F96" t="s">
        <v>126</v>
      </c>
      <c r="G96" t="s">
        <v>124</v>
      </c>
      <c r="H96" t="s">
        <v>122</v>
      </c>
      <c r="I96" t="s">
        <v>147</v>
      </c>
      <c r="J96" t="s">
        <v>84</v>
      </c>
      <c r="K96" t="s">
        <v>125</v>
      </c>
      <c r="L96">
        <v>90</v>
      </c>
      <c r="M96">
        <v>3339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3" sqref="B23:B25"/>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30"/>
      <c r="B5" s="126"/>
    </row>
    <row r="6" spans="1:3" ht="12.75" customHeight="1" x14ac:dyDescent="0.25">
      <c r="A6" s="130"/>
      <c r="B6" s="126"/>
    </row>
    <row r="7" spans="1:3" ht="12.75" customHeight="1" x14ac:dyDescent="0.25">
      <c r="A7" s="130"/>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29"/>
      <c r="B14" s="126"/>
    </row>
    <row r="15" spans="1:3" ht="12.75" customHeight="1" x14ac:dyDescent="0.25">
      <c r="A15" s="129"/>
      <c r="B15" s="126"/>
    </row>
    <row r="16" spans="1:3" x14ac:dyDescent="0.25">
      <c r="A16" s="129"/>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31"/>
      <c r="B29" s="131"/>
    </row>
    <row r="30" spans="1:2" x14ac:dyDescent="0.25">
      <c r="A30" s="131"/>
      <c r="B30" s="131"/>
    </row>
    <row r="31" spans="1:2" x14ac:dyDescent="0.25">
      <c r="A31" s="131"/>
      <c r="B31" s="131"/>
    </row>
    <row r="32" spans="1:2" x14ac:dyDescent="0.25">
      <c r="A32" s="131"/>
      <c r="B32" s="131"/>
    </row>
    <row r="33" spans="1:201" x14ac:dyDescent="0.25">
      <c r="A33" s="131"/>
      <c r="B33" s="131"/>
    </row>
    <row r="34" spans="1:201" x14ac:dyDescent="0.25">
      <c r="A34" s="131"/>
      <c r="B34" s="131"/>
    </row>
    <row r="35" spans="1:201" x14ac:dyDescent="0.25">
      <c r="A35" s="131"/>
      <c r="B35" s="131"/>
    </row>
    <row r="36" spans="1:201" x14ac:dyDescent="0.25">
      <c r="A36" s="131"/>
      <c r="B36" s="131"/>
    </row>
    <row r="37" spans="1:201" x14ac:dyDescent="0.25">
      <c r="A37" s="131"/>
      <c r="B37" s="131"/>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2023-07-15T03:38:15Z</dcterms:modified>
</cp:coreProperties>
</file>