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ThisWorkbook" defaultThemeVersion="124226"/>
  <mc:AlternateContent xmlns:mc="http://schemas.openxmlformats.org/markup-compatibility/2006">
    <mc:Choice Requires="x15">
      <x15ac:absPath xmlns:x15ac="http://schemas.microsoft.com/office/spreadsheetml/2010/11/ac" url="C:\Users\Paul\Footy Tipper\2021\Ladder Predict\"/>
    </mc:Choice>
  </mc:AlternateContent>
  <xr:revisionPtr revIDLastSave="0" documentId="8_{F269872D-37A5-4CD6-8A4F-6BC7BB6F8CA5}" xr6:coauthVersionLast="46" xr6:coauthVersionMax="46" xr10:uidLastSave="{00000000-0000-0000-0000-000000000000}"/>
  <bookViews>
    <workbookView xWindow="-108" yWindow="-108" windowWidth="23256" windowHeight="1257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5" i="1" l="1"/>
  <c r="S95" i="1"/>
  <c r="Q95" i="1"/>
  <c r="J95" i="1"/>
  <c r="K95" i="1"/>
  <c r="L95" i="1"/>
  <c r="M95" i="1"/>
  <c r="N95" i="1"/>
  <c r="O95" i="1"/>
  <c r="P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4" i="1"/>
  <c r="I4" i="1"/>
  <c r="J4" i="1"/>
  <c r="K4" i="1"/>
  <c r="L4" i="1"/>
  <c r="M4" i="1"/>
  <c r="N4" i="1"/>
  <c r="O4" i="1"/>
  <c r="P4" i="1"/>
  <c r="Q4" i="1"/>
  <c r="R4" i="1"/>
  <c r="S4"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0" i="1"/>
  <c r="I60" i="1"/>
  <c r="J60" i="1"/>
  <c r="K60" i="1"/>
  <c r="L60" i="1"/>
  <c r="M60" i="1"/>
  <c r="N60" i="1"/>
  <c r="O60" i="1"/>
  <c r="P60" i="1"/>
  <c r="Q60" i="1"/>
  <c r="R60" i="1"/>
  <c r="S60"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83" i="1"/>
  <c r="I83" i="1"/>
  <c r="J83" i="1"/>
  <c r="K83" i="1"/>
  <c r="L83" i="1"/>
  <c r="M83" i="1"/>
  <c r="N83" i="1"/>
  <c r="O83" i="1"/>
  <c r="P83" i="1"/>
  <c r="Q83" i="1"/>
  <c r="R83" i="1"/>
  <c r="S83" i="1"/>
  <c r="H82" i="1"/>
  <c r="I82" i="1"/>
  <c r="J82" i="1"/>
  <c r="K82" i="1"/>
  <c r="L82" i="1"/>
  <c r="M82" i="1"/>
  <c r="N82" i="1"/>
  <c r="O82" i="1"/>
  <c r="P82" i="1"/>
  <c r="Q82" i="1"/>
  <c r="R82" i="1"/>
  <c r="S82" i="1"/>
  <c r="H76" i="1"/>
  <c r="I76" i="1"/>
  <c r="J76" i="1"/>
  <c r="K76" i="1"/>
  <c r="L76" i="1"/>
  <c r="M76" i="1"/>
  <c r="N76" i="1"/>
  <c r="O76" i="1"/>
  <c r="P76" i="1"/>
  <c r="Q76" i="1"/>
  <c r="R76" i="1"/>
  <c r="S76" i="1"/>
  <c r="H81" i="1"/>
  <c r="I81" i="1"/>
  <c r="J81" i="1"/>
  <c r="K81" i="1"/>
  <c r="L81" i="1"/>
  <c r="M81" i="1"/>
  <c r="N81" i="1"/>
  <c r="O81" i="1"/>
  <c r="P81" i="1"/>
  <c r="Q81" i="1"/>
  <c r="R81" i="1"/>
  <c r="S81" i="1"/>
  <c r="H78" i="1"/>
  <c r="I78" i="1"/>
  <c r="J78" i="1"/>
  <c r="K78" i="1"/>
  <c r="L78" i="1"/>
  <c r="M78" i="1"/>
  <c r="N78" i="1"/>
  <c r="O78" i="1"/>
  <c r="P78" i="1"/>
  <c r="Q78" i="1"/>
  <c r="R78" i="1"/>
  <c r="S78" i="1"/>
  <c r="H80" i="1"/>
  <c r="I80" i="1"/>
  <c r="J80" i="1"/>
  <c r="K80" i="1"/>
  <c r="L80" i="1"/>
  <c r="M80" i="1"/>
  <c r="N80" i="1"/>
  <c r="O80" i="1"/>
  <c r="P80" i="1"/>
  <c r="Q80" i="1"/>
  <c r="R80" i="1"/>
  <c r="S80" i="1"/>
  <c r="H84" i="1"/>
  <c r="I84" i="1"/>
  <c r="J84" i="1"/>
  <c r="K84" i="1"/>
  <c r="L84" i="1"/>
  <c r="M84" i="1"/>
  <c r="N84" i="1"/>
  <c r="O84" i="1"/>
  <c r="P84" i="1"/>
  <c r="Q84" i="1"/>
  <c r="R84" i="1"/>
  <c r="S84" i="1"/>
  <c r="H77" i="1"/>
  <c r="I77" i="1"/>
  <c r="J77" i="1"/>
  <c r="K77" i="1"/>
  <c r="L77" i="1"/>
  <c r="M77" i="1"/>
  <c r="N77" i="1"/>
  <c r="O77" i="1"/>
  <c r="P77" i="1"/>
  <c r="Q77" i="1"/>
  <c r="R77" i="1"/>
  <c r="S77" i="1"/>
  <c r="H79" i="1"/>
  <c r="I79" i="1"/>
  <c r="J79" i="1"/>
  <c r="K79" i="1"/>
  <c r="L79" i="1"/>
  <c r="M79" i="1"/>
  <c r="N79" i="1"/>
  <c r="O79" i="1"/>
  <c r="P79" i="1"/>
  <c r="Q79" i="1"/>
  <c r="R79" i="1"/>
  <c r="S79"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C91" i="1" s="1"/>
  <c r="I89" i="1"/>
  <c r="AI91" i="1" s="1"/>
  <c r="J89" i="1"/>
  <c r="K89" i="1"/>
  <c r="L89" i="1"/>
  <c r="M89" i="1"/>
  <c r="N89" i="1"/>
  <c r="O89" i="1"/>
  <c r="P89" i="1"/>
  <c r="Q89" i="1"/>
  <c r="R89" i="1"/>
  <c r="S89" i="1"/>
  <c r="H90" i="1"/>
  <c r="C92" i="1" s="1"/>
  <c r="I90" i="1"/>
  <c r="J90" i="1"/>
  <c r="K90" i="1"/>
  <c r="L90" i="1"/>
  <c r="M90" i="1"/>
  <c r="N90" i="1"/>
  <c r="O90" i="1"/>
  <c r="P90" i="1"/>
  <c r="Q90" i="1"/>
  <c r="R90" i="1"/>
  <c r="S90" i="1"/>
  <c r="C94" i="1" l="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X55" i="1"/>
  <c r="Z55" i="1" s="1"/>
  <c r="AC57" i="1"/>
  <c r="AC58" i="1"/>
  <c r="AC59" i="1"/>
  <c r="AC68" i="1"/>
  <c r="AC72" i="1"/>
  <c r="AC81" i="1"/>
  <c r="AC82" i="1"/>
  <c r="AC83" i="1"/>
  <c r="AC84" i="1"/>
  <c r="AC38" i="1"/>
  <c r="AC52" i="1"/>
  <c r="AC10" i="1"/>
  <c r="AC11" i="1"/>
  <c r="AC20" i="1"/>
  <c r="X31" i="1"/>
  <c r="Z31" i="1" s="1"/>
  <c r="AC37" i="1"/>
  <c r="AC42" i="1"/>
  <c r="AC51" i="1"/>
  <c r="X59" i="1"/>
  <c r="Z59" i="1" s="1"/>
  <c r="AC63" i="1"/>
  <c r="AC64" i="1"/>
  <c r="AC79" i="1"/>
  <c r="AC70" i="1"/>
  <c r="AC7" i="1"/>
  <c r="AC23" i="1"/>
  <c r="AC24" i="1"/>
  <c r="AC34" i="1"/>
  <c r="AC46" i="1"/>
  <c r="AC48" i="1"/>
  <c r="X56" i="1"/>
  <c r="Z56" i="1" s="1"/>
  <c r="AC61" i="1"/>
  <c r="AC62" i="1"/>
  <c r="AC65" i="1"/>
  <c r="AC69" i="1"/>
  <c r="AC80" i="1"/>
  <c r="AC85" i="1"/>
  <c r="AC71" i="1"/>
  <c r="AC4" i="1"/>
  <c r="AC9" i="1"/>
  <c r="X15" i="1"/>
  <c r="Z15" i="1" s="1"/>
  <c r="X20" i="1"/>
  <c r="Z20" i="1" s="1"/>
  <c r="X24" i="1"/>
  <c r="Z24" i="1" s="1"/>
  <c r="AC29" i="1"/>
  <c r="AC31" i="1"/>
  <c r="AC39" i="1"/>
  <c r="X46" i="1"/>
  <c r="Z46" i="1" s="1"/>
  <c r="AC54" i="1"/>
  <c r="AC55" i="1"/>
  <c r="AC56" i="1"/>
  <c r="X58" i="1"/>
  <c r="Z58" i="1" s="1"/>
  <c r="AC74" i="1"/>
  <c r="AC76" i="1"/>
  <c r="AC44" i="1"/>
  <c r="AC5" i="1"/>
  <c r="AC17" i="1"/>
  <c r="AC32" i="1"/>
  <c r="AC12" i="1"/>
  <c r="AC6" i="1"/>
  <c r="X52" i="1"/>
  <c r="Z52" i="1" s="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W31" i="1"/>
  <c r="Y31" i="1" s="1"/>
  <c r="AA31" i="1" s="1"/>
  <c r="U2" i="1"/>
  <c r="V7" i="1"/>
  <c r="V23" i="1"/>
  <c r="V39" i="1"/>
  <c r="V55" i="1"/>
  <c r="W55" i="1" s="1"/>
  <c r="Y55" i="1" s="1"/>
  <c r="AA55" i="1" s="1"/>
  <c r="V75" i="1"/>
  <c r="V8" i="1"/>
  <c r="V28" i="1"/>
  <c r="V52" i="1"/>
  <c r="W52" i="1" s="1"/>
  <c r="Y52" i="1" s="1"/>
  <c r="AA52" i="1" s="1"/>
  <c r="V76" i="1"/>
  <c r="V21" i="1"/>
  <c r="V37" i="1"/>
  <c r="V77" i="1"/>
  <c r="V18" i="1"/>
  <c r="V34" i="1"/>
  <c r="V50" i="1"/>
  <c r="V70" i="1"/>
  <c r="V11" i="1"/>
  <c r="V27" i="1"/>
  <c r="V43" i="1"/>
  <c r="V59" i="1"/>
  <c r="W59" i="1" s="1"/>
  <c r="Y59" i="1" s="1"/>
  <c r="AA59" i="1" s="1"/>
  <c r="V79" i="1"/>
  <c r="V12" i="1"/>
  <c r="V36" i="1"/>
  <c r="V56" i="1"/>
  <c r="W56" i="1" s="1"/>
  <c r="Y56" i="1" s="1"/>
  <c r="AA56" i="1" s="1"/>
  <c r="V80" i="1"/>
  <c r="V9" i="1"/>
  <c r="V25" i="1"/>
  <c r="V57" i="1"/>
  <c r="V6" i="1"/>
  <c r="V22" i="1"/>
  <c r="V58" i="1"/>
  <c r="W58" i="1" s="1"/>
  <c r="Y58" i="1" s="1"/>
  <c r="AA58" i="1" s="1"/>
  <c r="V15" i="1"/>
  <c r="W15" i="1" s="1"/>
  <c r="Y15" i="1" s="1"/>
  <c r="AA15" i="1" s="1"/>
  <c r="V47" i="1"/>
  <c r="V63" i="1"/>
  <c r="V83" i="1"/>
  <c r="V20" i="1"/>
  <c r="W20" i="1" s="1"/>
  <c r="Y20" i="1" s="1"/>
  <c r="AA20" i="1" s="1"/>
  <c r="V44" i="1"/>
  <c r="V84" i="1"/>
  <c r="V13" i="1"/>
  <c r="V29" i="1"/>
  <c r="V45" i="1"/>
  <c r="V10" i="1"/>
  <c r="V26" i="1"/>
  <c r="V42" i="1"/>
  <c r="V62" i="1"/>
  <c r="V19" i="1"/>
  <c r="V35" i="1"/>
  <c r="V51" i="1"/>
  <c r="V71" i="1"/>
  <c r="V24" i="1"/>
  <c r="W24" i="1" s="1"/>
  <c r="Y24" i="1" s="1"/>
  <c r="AA24" i="1" s="1"/>
  <c r="V72" i="1"/>
  <c r="V33" i="1"/>
  <c r="V49" i="1"/>
  <c r="V69" i="1"/>
  <c r="V46" i="1"/>
  <c r="W46" i="1" s="1"/>
  <c r="Y46" i="1" s="1"/>
  <c r="AA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B49" i="15" l="1"/>
  <c r="A50"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B51" i="15" l="1"/>
  <c r="A52"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AE9" i="17"/>
  <c r="Q15" i="17" s="1"/>
  <c r="AC11" i="17"/>
  <c r="X11" i="17"/>
  <c r="AK2" i="1"/>
  <c r="Y10" i="17"/>
  <c r="AF10" i="17" s="1"/>
  <c r="Q9" i="17" s="1"/>
  <c r="AE10" i="17"/>
  <c r="Q6" i="17" s="1"/>
  <c r="B52" i="15" l="1"/>
  <c r="A53" i="15"/>
  <c r="AH18" i="17"/>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B53" i="15" l="1"/>
  <c r="A54"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B55" i="15" l="1"/>
  <c r="A56" i="15"/>
  <c r="N8" i="15"/>
  <c r="H8" i="15" s="1"/>
  <c r="AB16" i="1"/>
  <c r="AB81" i="1"/>
  <c r="AB67" i="1"/>
  <c r="AB54" i="1"/>
  <c r="AB40" i="1"/>
  <c r="AB61" i="1"/>
  <c r="AB64" i="1"/>
  <c r="AB60" i="1"/>
  <c r="AB74" i="1"/>
  <c r="AB73" i="1"/>
  <c r="AB82" i="1"/>
  <c r="AB32" i="1"/>
  <c r="A57" i="15" l="1"/>
  <c r="B56" i="15"/>
  <c r="AD2" i="1"/>
  <c r="A58" i="15" l="1"/>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B59" i="15" l="1"/>
  <c r="A60"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F29" i="1" s="1"/>
  <c r="D48" i="1"/>
  <c r="F48" i="1" s="1"/>
  <c r="D32" i="1"/>
  <c r="D4" i="1"/>
  <c r="F4" i="1" s="1"/>
  <c r="D64" i="1"/>
  <c r="F64" i="1" s="1"/>
  <c r="D61" i="1"/>
  <c r="E61" i="1" s="1"/>
  <c r="D31" i="1"/>
  <c r="F31" i="1" s="1"/>
  <c r="D19" i="1"/>
  <c r="F19" i="1" s="1"/>
  <c r="D95" i="1"/>
  <c r="E95" i="1" s="1"/>
  <c r="D30" i="1"/>
  <c r="E30" i="1" s="1"/>
  <c r="D54" i="1"/>
  <c r="D41" i="1"/>
  <c r="F41" i="1" s="1"/>
  <c r="D60" i="1"/>
  <c r="F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E64" i="1"/>
  <c r="F26" i="1"/>
  <c r="E26" i="1"/>
  <c r="L59" i="15" l="1"/>
  <c r="G59" i="15" s="1"/>
  <c r="E60" i="1"/>
  <c r="E29" i="1"/>
  <c r="F95" i="1"/>
  <c r="E28" i="1"/>
  <c r="N59" i="15"/>
  <c r="H59" i="15" s="1"/>
  <c r="B60" i="15"/>
  <c r="L60" i="15"/>
  <c r="G60" i="15" s="1"/>
  <c r="A61" i="15"/>
  <c r="N60" i="15"/>
  <c r="H60" i="15" s="1"/>
  <c r="E60" i="15"/>
  <c r="J60" i="15" s="1"/>
  <c r="K60" i="15" s="1"/>
  <c r="L47" i="15"/>
  <c r="G47" i="15" s="1"/>
  <c r="N47" i="15"/>
  <c r="H47" i="15" s="1"/>
  <c r="E47" i="15"/>
  <c r="J47" i="15" s="1"/>
  <c r="K47" i="15" s="1"/>
  <c r="E48" i="15"/>
  <c r="J48" i="15" s="1"/>
  <c r="K48" i="15" s="1"/>
  <c r="L48" i="15"/>
  <c r="G48" i="15" s="1"/>
  <c r="N48" i="15"/>
  <c r="H48" i="15" s="1"/>
  <c r="N49" i="15"/>
  <c r="H49" i="15" s="1"/>
  <c r="L49" i="15"/>
  <c r="G49" i="15" s="1"/>
  <c r="E49" i="15"/>
  <c r="J49" i="15" s="1"/>
  <c r="K49" i="15" s="1"/>
  <c r="E50" i="15"/>
  <c r="J50" i="15" s="1"/>
  <c r="K50" i="15" s="1"/>
  <c r="L50" i="15"/>
  <c r="G50" i="15" s="1"/>
  <c r="N50" i="15"/>
  <c r="H50" i="15" s="1"/>
  <c r="N51" i="15"/>
  <c r="H51" i="15" s="1"/>
  <c r="L51" i="15"/>
  <c r="G51" i="15" s="1"/>
  <c r="E51" i="15"/>
  <c r="J51" i="15" s="1"/>
  <c r="K51" i="15" s="1"/>
  <c r="E52" i="15"/>
  <c r="J52" i="15" s="1"/>
  <c r="K52" i="15" s="1"/>
  <c r="N52" i="15"/>
  <c r="H52" i="15" s="1"/>
  <c r="L52" i="15"/>
  <c r="G52" i="15" s="1"/>
  <c r="L53" i="15"/>
  <c r="G53" i="15" s="1"/>
  <c r="D53" i="15"/>
  <c r="E53" i="15"/>
  <c r="J53" i="15" s="1"/>
  <c r="K53" i="15" s="1"/>
  <c r="N53" i="15"/>
  <c r="H53" i="15" s="1"/>
  <c r="E54" i="15"/>
  <c r="J54" i="15" s="1"/>
  <c r="K54" i="15" s="1"/>
  <c r="N54" i="15"/>
  <c r="H54" i="15" s="1"/>
  <c r="L54" i="15"/>
  <c r="G54" i="15" s="1"/>
  <c r="L55" i="15"/>
  <c r="G55" i="15" s="1"/>
  <c r="N55" i="15"/>
  <c r="H55" i="15" s="1"/>
  <c r="E55" i="15"/>
  <c r="J55" i="15" s="1"/>
  <c r="K55" i="15" s="1"/>
  <c r="N56" i="15"/>
  <c r="H56" i="15" s="1"/>
  <c r="L56" i="15"/>
  <c r="G56" i="15" s="1"/>
  <c r="E56" i="15"/>
  <c r="J56" i="15" s="1"/>
  <c r="K56" i="15" s="1"/>
  <c r="E57" i="15"/>
  <c r="J57" i="15" s="1"/>
  <c r="K57" i="15" s="1"/>
  <c r="N57" i="15"/>
  <c r="H57" i="15" s="1"/>
  <c r="L57" i="15"/>
  <c r="G57" i="15" s="1"/>
  <c r="L58" i="15"/>
  <c r="G58" i="15" s="1"/>
  <c r="N58" i="15"/>
  <c r="H58" i="15" s="1"/>
  <c r="E58" i="15"/>
  <c r="J58" i="15" s="1"/>
  <c r="K58" i="15" s="1"/>
  <c r="E59" i="15"/>
  <c r="J59" i="15" s="1"/>
  <c r="K59" i="15" s="1"/>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D52" i="15" s="1"/>
  <c r="E67" i="1"/>
  <c r="F67" i="1"/>
  <c r="E57" i="1"/>
  <c r="F57" i="1"/>
  <c r="F10" i="1"/>
  <c r="E10" i="1"/>
  <c r="F78" i="1"/>
  <c r="E78" i="1"/>
  <c r="F81" i="1"/>
  <c r="E81" i="1"/>
  <c r="E14" i="1"/>
  <c r="F14" i="1"/>
  <c r="E39" i="1"/>
  <c r="C53" i="15" s="1"/>
  <c r="F39" i="1"/>
  <c r="F62" i="1"/>
  <c r="E62" i="1"/>
  <c r="F40" i="1"/>
  <c r="E40" i="1"/>
  <c r="C60" i="15" s="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D51" i="15" s="1"/>
  <c r="F17" i="1"/>
  <c r="E17" i="1"/>
  <c r="F73" i="1"/>
  <c r="E73" i="1"/>
  <c r="E3" i="1"/>
  <c r="C55" i="15" s="1"/>
  <c r="F3" i="1"/>
  <c r="D55" i="15" s="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D56" i="15" s="1"/>
  <c r="E58" i="1"/>
  <c r="F58" i="1"/>
  <c r="E12" i="1"/>
  <c r="F12" i="1"/>
  <c r="E34" i="1"/>
  <c r="F34" i="1"/>
  <c r="F45" i="1"/>
  <c r="D59" i="15" s="1"/>
  <c r="E45" i="1"/>
  <c r="C59" i="15" s="1"/>
  <c r="F68" i="1"/>
  <c r="E68" i="1"/>
  <c r="F77" i="1"/>
  <c r="E77" i="1"/>
  <c r="F85" i="1"/>
  <c r="E85" i="1"/>
  <c r="E70" i="1"/>
  <c r="F70" i="1"/>
  <c r="E35" i="1"/>
  <c r="F35" i="1"/>
  <c r="F53" i="1"/>
  <c r="E53" i="1"/>
  <c r="F13" i="1"/>
  <c r="E13" i="1"/>
  <c r="F75" i="1"/>
  <c r="E75" i="1"/>
  <c r="E66" i="1"/>
  <c r="F66" i="1"/>
  <c r="F43" i="1"/>
  <c r="E43" i="1"/>
  <c r="F27" i="1"/>
  <c r="E27" i="1"/>
  <c r="C47" i="15" l="1"/>
  <c r="D58" i="15"/>
  <c r="D47" i="15"/>
  <c r="C58" i="15"/>
  <c r="C50" i="15"/>
  <c r="D60" i="15"/>
  <c r="C49" i="15"/>
  <c r="C48" i="15"/>
  <c r="C57" i="15"/>
  <c r="D57" i="15"/>
  <c r="C51" i="15"/>
  <c r="D50" i="15"/>
  <c r="D54" i="15"/>
  <c r="C56" i="15"/>
  <c r="C54" i="15"/>
  <c r="D49" i="15"/>
  <c r="D48" i="15"/>
  <c r="C52" i="15"/>
  <c r="B61" i="15"/>
  <c r="D61" i="15"/>
  <c r="L61" i="15"/>
  <c r="G61" i="15" s="1"/>
  <c r="N61" i="15"/>
  <c r="H61" i="15" s="1"/>
  <c r="A62" i="15"/>
  <c r="E61" i="15"/>
  <c r="J61" i="15" s="1"/>
  <c r="K61" i="15" s="1"/>
  <c r="C61" i="15"/>
  <c r="D27"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L62" i="15"/>
  <c r="G62" i="15" s="1"/>
  <c r="B62" i="15"/>
  <c r="D62" i="15"/>
  <c r="E62" i="15"/>
  <c r="J62" i="15" s="1"/>
  <c r="K62" i="15" s="1"/>
  <c r="N62" i="15"/>
  <c r="H62" i="15" s="1"/>
  <c r="C62" i="15"/>
  <c r="B63" i="15" l="1"/>
  <c r="L63" i="15"/>
  <c r="G63" i="15" s="1"/>
  <c r="A64" i="15"/>
  <c r="D63" i="15"/>
  <c r="E63" i="15"/>
  <c r="J63" i="15" s="1"/>
  <c r="K63" i="15" s="1"/>
  <c r="N63" i="15"/>
  <c r="H63" i="15" s="1"/>
  <c r="C63" i="15"/>
  <c r="B64" i="15" l="1"/>
  <c r="L64" i="15"/>
  <c r="G64" i="15" s="1"/>
  <c r="N64" i="15"/>
  <c r="H64" i="15" s="1"/>
  <c r="D64" i="15"/>
  <c r="A65" i="15"/>
  <c r="E64" i="15"/>
  <c r="J64" i="15" s="1"/>
  <c r="K64" i="15" s="1"/>
  <c r="C64" i="15"/>
  <c r="B65" i="15" l="1"/>
  <c r="D65" i="15"/>
  <c r="L65" i="15"/>
  <c r="G65" i="15" s="1"/>
  <c r="N65" i="15"/>
  <c r="H65" i="15" s="1"/>
  <c r="A66" i="15"/>
  <c r="E65" i="15"/>
  <c r="J65" i="15" s="1"/>
  <c r="K65" i="15" s="1"/>
  <c r="C65" i="15"/>
  <c r="A67" i="15" l="1"/>
  <c r="L66" i="15"/>
  <c r="G66" i="15" s="1"/>
  <c r="B66" i="15"/>
  <c r="D66" i="15"/>
  <c r="N66" i="15"/>
  <c r="H66" i="15" s="1"/>
  <c r="C66" i="15"/>
  <c r="E66" i="15"/>
  <c r="J66" i="15" s="1"/>
  <c r="K66" i="15" s="1"/>
  <c r="B67" i="15" l="1"/>
  <c r="L67" i="15"/>
  <c r="G67" i="15" s="1"/>
  <c r="A68" i="15"/>
  <c r="N67" i="15"/>
  <c r="H67" i="15" s="1"/>
  <c r="C67" i="15"/>
  <c r="E67" i="15"/>
  <c r="J67" i="15" s="1"/>
  <c r="K67" i="15" s="1"/>
  <c r="D67" i="15"/>
  <c r="B68" i="15" l="1"/>
  <c r="L68" i="15"/>
  <c r="G68" i="15" s="1"/>
  <c r="N68" i="15"/>
  <c r="H68" i="15" s="1"/>
  <c r="D68" i="15"/>
  <c r="E68" i="15"/>
  <c r="J68" i="15" s="1"/>
  <c r="K68" i="15" s="1"/>
  <c r="C68" i="15"/>
  <c r="A69" i="15"/>
  <c r="B69" i="15" l="1"/>
  <c r="D69" i="15"/>
  <c r="N69" i="15"/>
  <c r="H69" i="15" s="1"/>
  <c r="A70" i="15"/>
  <c r="E69" i="15"/>
  <c r="J69" i="15" s="1"/>
  <c r="K69" i="15" s="1"/>
  <c r="C69" i="15"/>
  <c r="L69" i="15"/>
  <c r="G69" i="15" s="1"/>
  <c r="A71" i="15" l="1"/>
  <c r="L70" i="15"/>
  <c r="G70" i="15" s="1"/>
  <c r="B70" i="15"/>
  <c r="D70" i="15"/>
  <c r="N70" i="15"/>
  <c r="H70" i="15" s="1"/>
  <c r="C70" i="15"/>
  <c r="E70" i="15"/>
  <c r="J70" i="15" s="1"/>
  <c r="K70" i="15" s="1"/>
  <c r="B71" i="15" l="1"/>
  <c r="L71" i="15"/>
  <c r="G71" i="15" s="1"/>
  <c r="A72" i="15"/>
  <c r="N71" i="15"/>
  <c r="H71" i="15" s="1"/>
  <c r="C71" i="15"/>
  <c r="E71" i="15"/>
  <c r="J71" i="15" s="1"/>
  <c r="K71" i="15" s="1"/>
  <c r="D71" i="15"/>
  <c r="B72" i="15" l="1"/>
  <c r="L72" i="15"/>
  <c r="G72" i="15" s="1"/>
  <c r="D72" i="15"/>
  <c r="E72" i="15"/>
  <c r="J72" i="15" s="1"/>
  <c r="K72" i="15" s="1"/>
  <c r="N72" i="15"/>
  <c r="H72" i="15" s="1"/>
  <c r="C72" i="15"/>
  <c r="A73" i="15"/>
  <c r="B73" i="15" l="1"/>
  <c r="D73" i="15"/>
  <c r="N73" i="15"/>
  <c r="H73" i="15" s="1"/>
  <c r="A74" i="15"/>
  <c r="E73" i="15"/>
  <c r="J73" i="15" s="1"/>
  <c r="K73" i="15" s="1"/>
  <c r="C73" i="15"/>
  <c r="L73" i="15"/>
  <c r="G73" i="15" s="1"/>
  <c r="A75" i="15" l="1"/>
  <c r="L74" i="15"/>
  <c r="G74" i="15" s="1"/>
  <c r="B74" i="15"/>
  <c r="N74" i="15"/>
  <c r="H74" i="15" s="1"/>
  <c r="C74" i="15"/>
  <c r="E74" i="15"/>
  <c r="J74" i="15" s="1"/>
  <c r="K74" i="15" s="1"/>
  <c r="D74" i="15"/>
  <c r="B75" i="15" l="1"/>
  <c r="L75" i="15"/>
  <c r="G75" i="15" s="1"/>
  <c r="D75" i="15"/>
  <c r="N75" i="15"/>
  <c r="H75" i="15" s="1"/>
  <c r="C75" i="15"/>
  <c r="A76" i="15"/>
  <c r="E75" i="15"/>
  <c r="J75" i="15" s="1"/>
  <c r="K75" i="15" s="1"/>
  <c r="B76" i="15" l="1"/>
  <c r="L76" i="15"/>
  <c r="G76" i="15" s="1"/>
  <c r="N76" i="15"/>
  <c r="H76" i="15" s="1"/>
  <c r="D76" i="15"/>
  <c r="C76" i="15"/>
  <c r="A77" i="15"/>
  <c r="E76" i="15"/>
  <c r="J76" i="15" s="1"/>
  <c r="K76" i="15" s="1"/>
  <c r="B77" i="15" l="1"/>
  <c r="D77" i="15"/>
  <c r="N77" i="15"/>
  <c r="H77" i="15" s="1"/>
  <c r="A78" i="15"/>
  <c r="E77" i="15"/>
  <c r="J77" i="15" s="1"/>
  <c r="K77" i="15" s="1"/>
  <c r="C77" i="15"/>
  <c r="L77" i="15"/>
  <c r="G77" i="15" s="1"/>
  <c r="A79" i="15" l="1"/>
  <c r="L78" i="15"/>
  <c r="G78" i="15" s="1"/>
  <c r="D78" i="15"/>
  <c r="C78" i="15"/>
  <c r="E78" i="15"/>
  <c r="J78" i="15" s="1"/>
  <c r="K78" i="15" s="1"/>
  <c r="B78" i="15"/>
  <c r="N78" i="15"/>
  <c r="H78" i="15" s="1"/>
  <c r="B79" i="15" l="1"/>
  <c r="L79" i="15"/>
  <c r="G79" i="15" s="1"/>
  <c r="A80" i="15"/>
  <c r="D79" i="15"/>
  <c r="N79" i="15"/>
  <c r="H79" i="15" s="1"/>
  <c r="C79" i="15"/>
  <c r="E79" i="15"/>
  <c r="J79" i="15" s="1"/>
  <c r="K79" i="15" s="1"/>
  <c r="B80" i="15" l="1"/>
  <c r="L80" i="15"/>
  <c r="G80" i="15" s="1"/>
  <c r="D80" i="15"/>
  <c r="E80" i="15"/>
  <c r="J80" i="15" s="1"/>
  <c r="K80" i="15" s="1"/>
  <c r="C80" i="15"/>
  <c r="N80" i="15"/>
  <c r="H80" i="15" s="1"/>
  <c r="A81" i="15"/>
  <c r="B81" i="15" l="1"/>
  <c r="D81" i="15"/>
  <c r="N81" i="15"/>
  <c r="H81" i="15" s="1"/>
  <c r="A82" i="15"/>
  <c r="E81" i="15"/>
  <c r="J81" i="15" s="1"/>
  <c r="K81" i="15" s="1"/>
  <c r="C81" i="15"/>
  <c r="L81" i="15"/>
  <c r="G81" i="15" s="1"/>
  <c r="A83" i="15" l="1"/>
  <c r="L82" i="15"/>
  <c r="G82" i="15" s="1"/>
  <c r="B82" i="15"/>
  <c r="D82" i="15"/>
  <c r="N82" i="15"/>
  <c r="H82" i="15" s="1"/>
  <c r="C82" i="15"/>
  <c r="E82" i="15"/>
  <c r="J82" i="15" s="1"/>
  <c r="K82" i="15" s="1"/>
  <c r="A84" i="15" l="1"/>
  <c r="B83" i="15"/>
  <c r="D83" i="15"/>
  <c r="C83" i="15"/>
  <c r="E83" i="15"/>
  <c r="J83" i="15" s="1"/>
  <c r="K83" i="15" s="1"/>
  <c r="L83" i="15"/>
  <c r="G83" i="15" s="1"/>
  <c r="N83" i="15"/>
  <c r="H83" i="15" s="1"/>
  <c r="A85" i="15" l="1"/>
  <c r="N84" i="15"/>
  <c r="H84" i="15" s="1"/>
  <c r="B84" i="15"/>
  <c r="C84" i="15"/>
  <c r="L84" i="15"/>
  <c r="G84" i="15" s="1"/>
  <c r="E84" i="15"/>
  <c r="J84" i="15" s="1"/>
  <c r="K84" i="15" s="1"/>
  <c r="D84" i="15"/>
  <c r="A86" i="15" l="1"/>
  <c r="E85" i="15"/>
  <c r="J85" i="15" s="1"/>
  <c r="K85" i="15" s="1"/>
  <c r="L85" i="15"/>
  <c r="G85" i="15" s="1"/>
  <c r="N85" i="15"/>
  <c r="H85" i="15" s="1"/>
  <c r="D85" i="15"/>
  <c r="C85" i="15"/>
  <c r="B85" i="15"/>
  <c r="A87" i="15" l="1"/>
  <c r="N86" i="15"/>
  <c r="H86" i="15" s="1"/>
  <c r="B86" i="15"/>
  <c r="C86" i="15"/>
  <c r="L86" i="15"/>
  <c r="G86" i="15" s="1"/>
  <c r="E86" i="15"/>
  <c r="J86" i="15" s="1"/>
  <c r="K86" i="15" s="1"/>
  <c r="D86" i="15"/>
  <c r="A88" i="15" l="1"/>
  <c r="E87" i="15"/>
  <c r="J87" i="15" s="1"/>
  <c r="K87" i="15" s="1"/>
  <c r="L87" i="15"/>
  <c r="G87" i="15" s="1"/>
  <c r="B87" i="15"/>
  <c r="N87" i="15"/>
  <c r="H87" i="15" s="1"/>
  <c r="D87" i="15"/>
  <c r="C87" i="15"/>
  <c r="A89" i="15" l="1"/>
  <c r="N88" i="15"/>
  <c r="H88" i="15" s="1"/>
  <c r="B88" i="15"/>
  <c r="L88" i="15"/>
  <c r="G88" i="15" s="1"/>
  <c r="E88" i="15"/>
  <c r="J88" i="15" s="1"/>
  <c r="K88" i="15" s="1"/>
  <c r="D88" i="15"/>
  <c r="C88" i="15"/>
  <c r="N89" i="15" l="1"/>
  <c r="H89" i="15" s="1"/>
  <c r="E89" i="15"/>
  <c r="J89" i="15" s="1"/>
  <c r="K89" i="15" s="1"/>
  <c r="L89" i="15"/>
  <c r="G89" i="15" s="1"/>
  <c r="D89" i="15"/>
  <c r="C89" i="15"/>
  <c r="B89" i="15"/>
</calcChain>
</file>

<file path=xl/sharedStrings.xml><?xml version="1.0" encoding="utf-8"?>
<sst xmlns="http://schemas.openxmlformats.org/spreadsheetml/2006/main" count="1314" uniqueCount="240">
  <si>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</si>
  <si>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</si>
  <si>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</si>
  <si>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</si>
  <si>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</si>
  <si>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</si>
  <si>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</si>
  <si>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</si>
  <si>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</si>
  <si>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</si>
  <si>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</si>
  <si>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</si>
  <si>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</si>
  <si>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</si>
  <si>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</si>
  <si>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</si>
  <si>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</si>
  <si>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</si>
  <si>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</si>
  <si>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</si>
  <si>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</si>
  <si>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</si>
  <si>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</si>
  <si>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</si>
  <si>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</si>
  <si>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</si>
  <si>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</si>
  <si>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</si>
  <si>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</si>
  <si>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</si>
  <si>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</si>
  <si>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</si>
  <si>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</si>
  <si>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</si>
  <si>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</si>
  <si>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</si>
  <si>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</si>
  <si>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</si>
  <si>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</si>
  <si>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</si>
  <si>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</si>
  <si>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</si>
  <si>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</si>
  <si>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</si>
  <si>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</si>
  <si>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</si>
  <si>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</si>
  <si>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</si>
  <si>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</si>
  <si>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</si>
  <si>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</si>
  <si>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</si>
  <si>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</si>
  <si>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</si>
  <si>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</si>
  <si>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</si>
  <si>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</si>
  <si>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</si>
  <si>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</si>
  <si>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</si>
  <si>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</si>
  <si>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</si>
  <si>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</si>
  <si>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</si>
  <si>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</si>
  <si>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</si>
  <si>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</si>
  <si>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</si>
  <si>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</si>
  <si>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</si>
  <si>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</si>
  <si>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</si>
  <si>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</si>
  <si>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</si>
  <si>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</si>
  <si>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</si>
  <si>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</si>
  <si>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</si>
  <si>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</si>
  <si>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</si>
  <si>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</si>
  <si>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</si>
  <si>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</si>
  <si>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</si>
  <si>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</si>
  <si>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</si>
  <si>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</si>
  <si>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</si>
  <si>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</si>
  <si>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</si>
  <si>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</si>
  <si>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</si>
  <si>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</si>
  <si>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</si>
  <si>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</si>
  <si>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</si>
  <si>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</si>
  <si>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</si>
  <si>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</si>
  <si>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</si>
  <si>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</si>
  <si>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</si>
  <si>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</si>
  <si>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</si>
  <si>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</si>
  <si>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</si>
  <si>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</si>
  <si>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</si>
  <si>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</si>
  <si>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</si>
  <si>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</si>
  <si>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</si>
  <si>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</si>
  <si>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</si>
  <si>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</si>
  <si>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</si>
  <si>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</si>
  <si>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</si>
  <si>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</si>
  <si>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</si>
  <si>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</si>
  <si>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</si>
  <si>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</si>
  <si>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</si>
  <si>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</si>
  <si>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</si>
  <si>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</si>
  <si>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</si>
  <si>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</si>
  <si>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</si>
  <si>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</si>
  <si>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</si>
  <si>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</si>
  <si>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</si>
  <si>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</si>
  <si>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</si>
  <si>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</si>
  <si>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</si>
  <si>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</si>
  <si>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</si>
  <si>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</si>
  <si>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</si>
  <si>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</si>
  <si>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</si>
  <si>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</si>
  <si>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</si>
  <si>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</si>
  <si>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</si>
  <si>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</si>
  <si>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</si>
  <si>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</si>
  <si>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786Om</t>
  </si>
  <si>
    <t>Titans</t>
  </si>
  <si>
    <t>8.1</t>
  </si>
  <si>
    <t>Thursday  AEST</t>
  </si>
  <si>
    <t>786Omkar</t>
  </si>
  <si>
    <t>8.2</t>
  </si>
  <si>
    <t>Friday  AEST</t>
  </si>
  <si>
    <t>AaronC</t>
  </si>
  <si>
    <t>8.3</t>
  </si>
  <si>
    <t>Active Players</t>
  </si>
  <si>
    <t>Adel Messih</t>
  </si>
  <si>
    <t>8.4</t>
  </si>
  <si>
    <t>Saturday  AEST</t>
  </si>
  <si>
    <t>Admireel</t>
  </si>
  <si>
    <t>8.5</t>
  </si>
  <si>
    <t>Bart Simpson</t>
  </si>
  <si>
    <t>8.6</t>
  </si>
  <si>
    <t>Knights</t>
  </si>
  <si>
    <t>Big Baba</t>
  </si>
  <si>
    <t>8.7</t>
  </si>
  <si>
    <t>Sunday  AEST</t>
  </si>
  <si>
    <t>Big Moose</t>
  </si>
  <si>
    <t>8.8</t>
  </si>
  <si>
    <t>BigBadBenji</t>
  </si>
  <si>
    <t>BillyB</t>
  </si>
  <si>
    <t>blakey94</t>
  </si>
  <si>
    <t>Bridie</t>
  </si>
  <si>
    <t>Budgie</t>
  </si>
  <si>
    <t>Caline</t>
  </si>
  <si>
    <t>Camo</t>
  </si>
  <si>
    <t>Carlos</t>
  </si>
  <si>
    <t>chur_moi</t>
  </si>
  <si>
    <t>Cruella</t>
  </si>
  <si>
    <t>DaveM</t>
  </si>
  <si>
    <t>Defending Champion</t>
  </si>
  <si>
    <t>DragonDazz</t>
  </si>
  <si>
    <t>Fouad Khochaiche</t>
  </si>
  <si>
    <t>gdadisho</t>
  </si>
  <si>
    <t>GeorgeTheDragon</t>
  </si>
  <si>
    <t>Gerehu3B</t>
  </si>
  <si>
    <t>9986</t>
  </si>
  <si>
    <t>Guru2810</t>
  </si>
  <si>
    <t>I miss Benji</t>
  </si>
  <si>
    <t>Ian from Dublin</t>
  </si>
  <si>
    <t>ILuvGal</t>
  </si>
  <si>
    <t>isha68</t>
  </si>
  <si>
    <t>iTerry</t>
  </si>
  <si>
    <t>Kauboi</t>
  </si>
  <si>
    <t>Krusty</t>
  </si>
  <si>
    <t>Lou</t>
  </si>
  <si>
    <t>MadFoxEyes</t>
  </si>
  <si>
    <t>Magnum</t>
  </si>
  <si>
    <t>MB</t>
  </si>
  <si>
    <t>Micrider</t>
  </si>
  <si>
    <t>MJP181</t>
  </si>
  <si>
    <t>MLC</t>
  </si>
  <si>
    <t>MR. TAYLOR</t>
  </si>
  <si>
    <t>Mrs Cooper</t>
  </si>
  <si>
    <t>murch</t>
  </si>
  <si>
    <t>NotLast</t>
  </si>
  <si>
    <t>Offside_Touchie</t>
  </si>
  <si>
    <t>Om786</t>
  </si>
  <si>
    <t>Pablo</t>
  </si>
  <si>
    <t>PabloW</t>
  </si>
  <si>
    <t>Pantherman</t>
  </si>
  <si>
    <t>Panthers29</t>
  </si>
  <si>
    <t>Rab_i</t>
  </si>
  <si>
    <t>Robert Cook</t>
  </si>
  <si>
    <t>Rossco the Pom</t>
  </si>
  <si>
    <t>Runner</t>
  </si>
  <si>
    <t>SCULKIN</t>
  </si>
  <si>
    <t>Seano</t>
  </si>
  <si>
    <t>Shagger</t>
  </si>
  <si>
    <t>sharkies.fan</t>
  </si>
  <si>
    <t>SMOG</t>
  </si>
  <si>
    <t>Splinter</t>
  </si>
  <si>
    <t>Stallion</t>
  </si>
  <si>
    <t>StuartS</t>
  </si>
  <si>
    <t>T-Bone</t>
  </si>
  <si>
    <t>ThePhantom</t>
  </si>
  <si>
    <t>TheZipZipMan</t>
  </si>
  <si>
    <t>Timbo</t>
  </si>
  <si>
    <t>Toothpick13</t>
  </si>
  <si>
    <t>turoshamstrings</t>
  </si>
  <si>
    <t>Wiley C</t>
  </si>
  <si>
    <t>Yackas</t>
  </si>
  <si>
    <t>Year of the Knights</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</si>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</sst>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90">
    <xf numFmtId="0" fontId="0" fillId="0" borderId="0" xfId="0"/>
    <xf numFmtId="0" fontId="0" fillId="0" borderId="0" xfId="0" applyAlignment="1">
      <alignment horizontal="center"/>
    </xf>
    <xf numFmtId="0" fontId="4" fillId="0" borderId="0" xfId="0" applyFont="1" applyBorder="1" applyAlignment="1" applyProtection="1">
      <alignment horizontal="center"/>
      <protection hidden="1"/>
    </xf>
    <xf numFmtId="0" fontId="0" fillId="0" borderId="0" xfId="0" applyBorder="1" applyAlignment="1">
      <alignment horizontal="center"/>
    </xf>
    <xf numFmtId="0" fontId="5" fillId="0" borderId="0" xfId="0" applyFont="1" applyBorder="1"/>
    <xf numFmtId="0" fontId="0" fillId="0" borderId="0" xfId="0" applyBorder="1"/>
    <xf numFmtId="9" fontId="4" fillId="0" borderId="15" xfId="51" applyBorder="1" applyAlignment="1">
      <alignment horizontal="left"/>
    </xf>
    <xf numFmtId="9" fontId="4" fillId="0" borderId="0" xfId="51" applyBorder="1" applyAlignment="1">
      <alignment horizontal="left"/>
    </xf>
    <xf numFmtId="0" fontId="0" fillId="0" borderId="0" xfId="0" applyAlignment="1">
      <alignment horizontal="center"/>
    </xf>
    <xf numFmtId="0" fontId="35" fillId="0" borderId="0" xfId="0" applyFont="1" applyBorder="1"/>
    <xf numFmtId="0" fontId="35" fillId="0" borderId="0" xfId="0" applyFont="1" applyBorder="1" applyAlignment="1">
      <alignment horizontal="center"/>
    </xf>
    <xf numFmtId="0" fontId="0" fillId="0" borderId="0" xfId="0" applyAlignment="1">
      <alignment horizontal="center"/>
    </xf>
    <xf numFmtId="0" fontId="32" fillId="29" borderId="21" xfId="0" applyNumberFormat="1" applyFont="1" applyFill="1" applyBorder="1" applyAlignment="1" applyProtection="1">
      <alignment horizontal="center" vertical="center"/>
      <protection hidden="1"/>
    </xf>
    <xf numFmtId="0" fontId="4" fillId="29" borderId="21" xfId="0" applyNumberFormat="1" applyFont="1" applyFill="1" applyBorder="1" applyAlignment="1" applyProtection="1">
      <alignment horizontal="center" vertical="center"/>
      <protection hidden="1"/>
    </xf>
    <xf numFmtId="0" fontId="4" fillId="0" borderId="21" xfId="0" applyNumberFormat="1" applyFont="1" applyFill="1" applyBorder="1" applyAlignment="1" applyProtection="1">
      <alignment horizontal="center" vertical="center"/>
      <protection hidden="1"/>
    </xf>
    <xf numFmtId="0" fontId="0" fillId="0" borderId="0" xfId="0" applyAlignment="1">
      <alignment horizontal="center"/>
    </xf>
    <xf numFmtId="0" fontId="0" fillId="30" borderId="0" xfId="0" applyFill="1"/>
    <xf numFmtId="0" fontId="4" fillId="30" borderId="0" xfId="0" applyFont="1" applyFill="1" applyBorder="1" applyAlignment="1" applyProtection="1">
      <alignment horizontal="center"/>
      <protection hidden="1"/>
    </xf>
    <xf numFmtId="0" fontId="4" fillId="0" borderId="0" xfId="38"/>
    <xf numFmtId="0" fontId="39" fillId="0" borderId="0" xfId="52" applyFont="1" applyFill="1"/>
    <xf numFmtId="0" fontId="40" fillId="0" borderId="0" xfId="38" applyFont="1" applyFill="1"/>
    <xf numFmtId="0" fontId="4" fillId="0" borderId="0" xfId="38" applyAlignment="1">
      <alignment horizontal="left"/>
    </xf>
    <xf numFmtId="0" fontId="4" fillId="0" borderId="0" xfId="38" applyBorder="1"/>
    <xf numFmtId="0" fontId="4" fillId="0" borderId="0" xfId="38" applyBorder="1" applyAlignment="1">
      <alignment horizontal="left"/>
    </xf>
    <xf numFmtId="0" fontId="4" fillId="0" borderId="0" xfId="38" applyFill="1" applyBorder="1" applyAlignment="1">
      <alignment horizontal="center"/>
    </xf>
    <xf numFmtId="0" fontId="4" fillId="0" borderId="0" xfId="38" applyFill="1" applyBorder="1" applyAlignment="1">
      <alignment horizontal="left"/>
    </xf>
    <xf numFmtId="0" fontId="4" fillId="0" borderId="0" xfId="38" applyFill="1" applyBorder="1" applyAlignment="1"/>
    <xf numFmtId="0" fontId="4" fillId="0" borderId="0" xfId="38" applyBorder="1" applyProtection="1">
      <protection hidden="1"/>
    </xf>
    <xf numFmtId="0" fontId="4" fillId="0" borderId="0" xfId="38" applyBorder="1" applyAlignment="1" applyProtection="1">
      <alignment horizontal="left"/>
      <protection hidden="1"/>
    </xf>
    <xf numFmtId="0" fontId="4" fillId="0" borderId="0" xfId="38" applyFill="1" applyBorder="1" applyAlignment="1" applyProtection="1">
      <protection hidden="1"/>
    </xf>
    <xf numFmtId="0" fontId="28" fillId="0" borderId="0" xfId="38" applyFont="1" applyFill="1" applyBorder="1" applyAlignment="1" applyProtection="1">
      <protection hidden="1"/>
    </xf>
    <xf numFmtId="0" fontId="28" fillId="0" borderId="0" xfId="38" applyFont="1" applyFill="1" applyBorder="1" applyAlignment="1" applyProtection="1">
      <alignment vertical="center"/>
      <protection hidden="1"/>
    </xf>
    <xf numFmtId="0" fontId="41" fillId="0" borderId="0" xfId="38" applyFont="1" applyFill="1" applyBorder="1" applyAlignment="1">
      <alignment horizontal="left"/>
    </xf>
    <xf numFmtId="0" fontId="41" fillId="0" borderId="0" xfId="38" applyFont="1" applyBorder="1" applyAlignment="1">
      <alignment horizontal="left"/>
    </xf>
    <xf numFmtId="0" fontId="4" fillId="0" borderId="18" xfId="38" applyBorder="1"/>
    <xf numFmtId="0" fontId="4" fillId="0" borderId="18" xfId="38" applyBorder="1" applyAlignment="1">
      <alignment horizontal="left"/>
    </xf>
    <xf numFmtId="0" fontId="4" fillId="0" borderId="18" xfId="38" applyFill="1" applyBorder="1" applyAlignment="1"/>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Border="1" applyAlignment="1">
      <alignment horizontal="left"/>
    </xf>
    <xf numFmtId="0" fontId="4" fillId="26" borderId="0" xfId="38" applyFill="1" applyBorder="1"/>
    <xf numFmtId="0" fontId="4" fillId="0" borderId="1" xfId="38" applyBorder="1" applyAlignment="1" applyProtection="1">
      <alignment horizontal="center"/>
      <protection locked="0" hidden="1"/>
    </xf>
    <xf numFmtId="0" fontId="29" fillId="26" borderId="0" xfId="38" applyFont="1" applyFill="1" applyBorder="1" applyAlignment="1">
      <alignment horizontal="center"/>
    </xf>
    <xf numFmtId="0" fontId="28" fillId="0" borderId="0" xfId="38" applyFont="1" applyFill="1" applyBorder="1" applyAlignment="1">
      <alignment horizontal="center"/>
    </xf>
    <xf numFmtId="0" fontId="28" fillId="0" borderId="0" xfId="38" applyFont="1" applyFill="1" applyBorder="1" applyAlignment="1">
      <alignment horizontal="left"/>
    </xf>
    <xf numFmtId="0" fontId="4" fillId="0" borderId="0" xfId="38" applyFill="1" applyBorder="1" applyProtection="1">
      <protection hidden="1"/>
    </xf>
    <xf numFmtId="0" fontId="29" fillId="26" borderId="0" xfId="38" applyFont="1" applyFill="1" applyBorder="1" applyAlignment="1">
      <alignment horizontal="left"/>
    </xf>
    <xf numFmtId="0" fontId="4" fillId="0" borderId="1" xfId="38" applyFill="1" applyBorder="1" applyAlignment="1" applyProtection="1">
      <alignment horizontal="center"/>
      <protection locked="0" hidden="1"/>
    </xf>
    <xf numFmtId="0" fontId="4" fillId="0" borderId="0" xfId="38" applyFill="1" applyBorder="1"/>
    <xf numFmtId="0" fontId="4" fillId="0" borderId="0" xfId="38" applyFill="1" applyBorder="1" applyAlignment="1" applyProtection="1">
      <alignment horizontal="center"/>
      <protection hidden="1"/>
    </xf>
    <xf numFmtId="0" fontId="4" fillId="0" borderId="0" xfId="38" applyFill="1" applyBorder="1" applyAlignment="1" applyProtection="1">
      <alignment horizontal="left"/>
      <protection hidden="1"/>
    </xf>
    <xf numFmtId="0" fontId="4" fillId="0" borderId="14" xfId="38" applyFill="1" applyBorder="1" applyAlignment="1">
      <alignment horizontal="center"/>
    </xf>
    <xf numFmtId="0" fontId="28" fillId="0" borderId="0" xfId="38" applyFont="1" applyFill="1" applyBorder="1" applyAlignment="1" applyProtection="1">
      <alignment horizontal="center"/>
      <protection hidden="1"/>
    </xf>
    <xf numFmtId="0" fontId="33" fillId="0" borderId="0" xfId="38" applyFont="1" applyFill="1" applyBorder="1" applyAlignment="1" applyProtection="1">
      <alignment horizontal="left"/>
      <protection hidden="1"/>
    </xf>
    <xf numFmtId="0" fontId="28" fillId="28" borderId="0" xfId="38" applyFont="1" applyFill="1" applyBorder="1" applyAlignment="1" applyProtection="1">
      <alignment horizontal="center"/>
      <protection hidden="1"/>
    </xf>
    <xf numFmtId="0" fontId="33" fillId="28" borderId="0" xfId="38" applyFont="1" applyFill="1" applyBorder="1" applyAlignment="1" applyProtection="1">
      <alignment horizontal="left"/>
      <protection hidden="1"/>
    </xf>
    <xf numFmtId="0" fontId="4" fillId="0" borderId="14" xfId="38" applyFill="1" applyBorder="1" applyAlignment="1"/>
    <xf numFmtId="0" fontId="7" fillId="28" borderId="0" xfId="38" applyFont="1" applyFill="1" applyBorder="1" applyAlignment="1" applyProtection="1">
      <alignment horizontal="left"/>
      <protection hidden="1"/>
    </xf>
    <xf numFmtId="9" fontId="29" fillId="26" borderId="0" xfId="38" applyNumberFormat="1" applyFont="1" applyFill="1" applyBorder="1"/>
    <xf numFmtId="0" fontId="32" fillId="0" borderId="0" xfId="38" applyFont="1" applyFill="1" applyBorder="1" applyAlignment="1" applyProtection="1">
      <alignment horizontal="left"/>
      <protection hidden="1"/>
    </xf>
    <xf numFmtId="0" fontId="4" fillId="28" borderId="0" xfId="38" applyFill="1" applyBorder="1" applyProtection="1">
      <protection hidden="1"/>
    </xf>
    <xf numFmtId="0" fontId="32" fillId="28" borderId="0" xfId="38" applyFont="1" applyFill="1" applyBorder="1" applyAlignment="1" applyProtection="1">
      <alignment horizontal="left"/>
      <protection hidden="1"/>
    </xf>
    <xf numFmtId="0" fontId="32" fillId="0" borderId="0" xfId="38" applyFont="1" applyBorder="1" applyAlignment="1" applyProtection="1">
      <alignment horizontal="left"/>
      <protection hidden="1"/>
    </xf>
    <xf numFmtId="0" fontId="4" fillId="0" borderId="0" xfId="38" applyBorder="1" applyAlignment="1"/>
    <xf numFmtId="0" fontId="7" fillId="0" borderId="0" xfId="38" applyFont="1" applyFill="1" applyBorder="1" applyAlignment="1" applyProtection="1">
      <alignment horizontal="left"/>
      <protection hidden="1"/>
    </xf>
    <xf numFmtId="0" fontId="7" fillId="27" borderId="0" xfId="38" applyFont="1" applyFill="1" applyBorder="1" applyAlignment="1" applyProtection="1">
      <alignment horizontal="left"/>
      <protection hidden="1"/>
    </xf>
    <xf numFmtId="0" fontId="32" fillId="27" borderId="14" xfId="38" applyFont="1" applyFill="1" applyBorder="1" applyAlignment="1"/>
    <xf numFmtId="0" fontId="28" fillId="0" borderId="0" xfId="38" applyFont="1" applyFill="1" applyBorder="1" applyAlignment="1" applyProtection="1">
      <alignment horizontal="left"/>
      <protection hidden="1"/>
    </xf>
    <xf numFmtId="0" fontId="28" fillId="0" borderId="0" xfId="38" applyFont="1" applyBorder="1" applyAlignment="1">
      <alignment horizontal="center"/>
    </xf>
    <xf numFmtId="0" fontId="28" fillId="0" borderId="0" xfId="38" applyFont="1" applyBorder="1" applyAlignment="1">
      <alignment horizontal="left"/>
    </xf>
    <xf numFmtId="0" fontId="4" fillId="0" borderId="15" xfId="38" applyBorder="1"/>
    <xf numFmtId="0" fontId="30" fillId="26" borderId="0" xfId="38" applyFont="1" applyFill="1" applyBorder="1" applyAlignment="1">
      <alignment horizontal="center"/>
    </xf>
    <xf numFmtId="0" fontId="30" fillId="0" borderId="0" xfId="38" applyFont="1" applyBorder="1" applyAlignment="1">
      <alignment horizontal="center"/>
    </xf>
    <xf numFmtId="0" fontId="30" fillId="26" borderId="0" xfId="38" applyFont="1" applyFill="1" applyBorder="1" applyAlignment="1">
      <alignment horizontal="left"/>
    </xf>
    <xf numFmtId="0" fontId="4" fillId="0" borderId="13" xfId="38" applyBorder="1"/>
    <xf numFmtId="0" fontId="41" fillId="0" borderId="0" xfId="38" applyFont="1"/>
    <xf numFmtId="0" fontId="42" fillId="0" borderId="0" xfId="52" applyFont="1" applyFill="1"/>
    <xf numFmtId="0" fontId="4" fillId="0" borderId="0" xfId="38" applyFont="1" applyBorder="1" applyAlignment="1">
      <alignment horizontal="left"/>
    </xf>
    <xf numFmtId="0" fontId="41" fillId="0" borderId="14" xfId="38" applyFont="1" applyFill="1" applyBorder="1" applyAlignment="1">
      <alignment horizontal="center"/>
    </xf>
    <xf numFmtId="0" fontId="41" fillId="0" borderId="14" xfId="38" applyFont="1" applyFill="1" applyBorder="1" applyAlignment="1"/>
    <xf numFmtId="0" fontId="41" fillId="0" borderId="0" xfId="38" applyFont="1" applyFill="1" applyProtection="1">
      <protection hidden="1"/>
    </xf>
    <xf numFmtId="0" fontId="3" fillId="0" borderId="0" xfId="0" applyFont="1" applyProtection="1">
      <protection hidden="1"/>
    </xf>
    <xf numFmtId="0" fontId="2"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0" fillId="0" borderId="0"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Fill="1" applyAlignment="1" applyProtection="1">
      <alignment horizontal="center"/>
      <protection hidden="1"/>
    </xf>
    <xf numFmtId="0" fontId="2" fillId="0" borderId="0" xfId="0" applyFont="1" applyAlignment="1" applyProtection="1">
      <alignment horizontal="left"/>
      <protection hidden="1"/>
    </xf>
    <xf numFmtId="0" fontId="0" fillId="0" borderId="0" xfId="0" applyProtection="1">
      <protection hidden="1"/>
    </xf>
    <xf numFmtId="0" fontId="34" fillId="0" borderId="0" xfId="0" applyFont="1" applyFill="1" applyBorder="1" applyAlignment="1" applyProtection="1">
      <alignment horizontal="center" vertical="top"/>
      <protection hidden="1"/>
    </xf>
    <xf numFmtId="0" fontId="1" fillId="2" borderId="0" xfId="0" applyFont="1" applyFill="1" applyBorder="1" applyAlignment="1" applyProtection="1">
      <alignment horizontal="center"/>
      <protection hidden="1"/>
    </xf>
    <xf numFmtId="0" fontId="1" fillId="0" borderId="0" xfId="0" applyFont="1" applyFill="1" applyBorder="1" applyAlignment="1" applyProtection="1">
      <alignment horizontal="center"/>
      <protection hidden="1"/>
    </xf>
    <xf numFmtId="0" fontId="1" fillId="0" borderId="0" xfId="0" applyFont="1" applyFill="1" applyBorder="1" applyAlignment="1" applyProtection="1">
      <protection hidden="1"/>
    </xf>
    <xf numFmtId="0" fontId="34" fillId="0" borderId="0" xfId="0" quotePrefix="1" applyFont="1" applyFill="1" applyBorder="1" applyAlignment="1" applyProtection="1">
      <alignment horizontal="center" vertical="top"/>
      <protection hidden="1"/>
    </xf>
    <xf numFmtId="0" fontId="37" fillId="0" borderId="0" xfId="0" applyFont="1" applyFill="1" applyBorder="1" applyAlignment="1" applyProtection="1">
      <alignment horizontal="left" vertical="top"/>
      <protection hidden="1"/>
    </xf>
    <xf numFmtId="0" fontId="3" fillId="0" borderId="0" xfId="0" applyFont="1" applyFill="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Fill="1"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21" xfId="0" applyBorder="1" applyAlignment="1" applyProtection="1">
      <alignment horizontal="center"/>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3" fillId="0" borderId="0" xfId="0" applyFont="1" applyFill="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Fill="1" applyBorder="1" applyAlignment="1" applyProtection="1">
      <alignment vertical="top"/>
      <protection hidden="1"/>
    </xf>
    <xf numFmtId="0" fontId="43" fillId="0" borderId="0" xfId="0" applyFont="1" applyBorder="1" applyAlignment="1" applyProtection="1">
      <alignment horizontal="center"/>
      <protection hidden="1"/>
    </xf>
    <xf numFmtId="0" fontId="46" fillId="0" borderId="0" xfId="0" applyFont="1" applyBorder="1" applyAlignment="1" applyProtection="1">
      <alignment horizontal="left"/>
      <protection hidden="1"/>
    </xf>
    <xf numFmtId="0" fontId="35" fillId="0" borderId="0" xfId="0" applyFont="1" applyAlignment="1" applyProtection="1">
      <alignment horizontal="center"/>
      <protection hidden="1"/>
    </xf>
    <xf numFmtId="0" fontId="35" fillId="0" borderId="0" xfId="0" applyFont="1" applyFill="1" applyAlignment="1" applyProtection="1">
      <alignment horizontal="center"/>
      <protection hidden="1"/>
    </xf>
    <xf numFmtId="0" fontId="46" fillId="0" borderId="0" xfId="0" applyFont="1" applyAlignment="1" applyProtection="1">
      <alignment horizontal="left"/>
      <protection hidden="1"/>
    </xf>
    <xf numFmtId="0" fontId="34" fillId="0" borderId="0" xfId="0" applyFont="1" applyFill="1" applyBorder="1" applyAlignment="1" applyProtection="1">
      <alignment vertical="top"/>
      <protection hidden="1"/>
    </xf>
    <xf numFmtId="0" fontId="35" fillId="0" borderId="0" xfId="0" applyFont="1" applyBorder="1" applyAlignment="1" applyProtection="1">
      <protection hidden="1"/>
    </xf>
    <xf numFmtId="0" fontId="46" fillId="0" borderId="0" xfId="0" applyFont="1" applyAlignment="1" applyProtection="1">
      <alignment horizontal="center"/>
      <protection hidden="1"/>
    </xf>
    <xf numFmtId="0" fontId="1"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35" fillId="0" borderId="0" xfId="0" applyFont="1" applyBorder="1" applyAlignment="1" applyProtection="1">
      <alignment horizontal="center"/>
      <protection hidden="1"/>
    </xf>
    <xf numFmtId="0" fontId="43" fillId="0" borderId="0" xfId="0" quotePrefix="1" applyFont="1" applyProtection="1">
      <protection hidden="1"/>
    </xf>
    <xf numFmtId="0" fontId="34"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protection hidden="1"/>
    </xf>
    <xf numFmtId="0" fontId="3" fillId="0" borderId="0" xfId="0" applyFont="1" applyBorder="1" applyProtection="1">
      <protection hidden="1"/>
    </xf>
    <xf numFmtId="0" fontId="27" fillId="0" borderId="12" xfId="38" applyFont="1" applyFill="1" applyBorder="1" applyAlignment="1"/>
    <xf numFmtId="0" fontId="35" fillId="0" borderId="0" xfId="0" applyFont="1" applyFill="1" applyProtection="1">
      <protection hidden="1"/>
    </xf>
    <xf numFmtId="0" fontId="5" fillId="0" borderId="0" xfId="0" applyFont="1" applyFill="1" applyBorder="1" applyProtection="1">
      <protection hidden="1"/>
    </xf>
    <xf numFmtId="0" fontId="48" fillId="0" borderId="0" xfId="0" applyFont="1" applyFill="1" applyProtection="1">
      <protection hidden="1"/>
    </xf>
    <xf numFmtId="0" fontId="35" fillId="0" borderId="0" xfId="0" applyFont="1" applyFill="1" applyBorder="1" applyProtection="1">
      <protection hidden="1"/>
    </xf>
    <xf numFmtId="0" fontId="35" fillId="0" borderId="0" xfId="0" applyFont="1" applyFill="1" applyProtection="1">
      <protection locked="0" hidden="1"/>
    </xf>
    <xf numFmtId="0" fontId="35" fillId="0" borderId="0" xfId="0" applyFont="1" applyFill="1" applyBorder="1" applyProtection="1">
      <protection locked="0" hidden="1"/>
    </xf>
    <xf numFmtId="0" fontId="4" fillId="0" borderId="0" xfId="38" applyFill="1" applyBorder="1" applyAlignment="1">
      <alignment horizontal="center"/>
    </xf>
    <xf numFmtId="0" fontId="4" fillId="0" borderId="0" xfId="38"/>
    <xf numFmtId="0" fontId="4" fillId="0" borderId="0" xfId="38" applyFill="1" applyBorder="1" applyAlignment="1">
      <alignment horizontal="center"/>
    </xf>
    <xf numFmtId="0" fontId="4" fillId="0" borderId="0" xfId="38" applyFill="1" applyBorder="1" applyProtection="1">
      <protection locked="0" hidden="1"/>
    </xf>
    <xf numFmtId="0" fontId="4" fillId="0" borderId="0" xfId="38" applyProtection="1">
      <protection hidden="1"/>
    </xf>
    <xf numFmtId="0" fontId="4" fillId="0" borderId="0" xfId="38" applyFill="1" applyAlignment="1">
      <alignment horizontal="left"/>
    </xf>
    <xf numFmtId="0" fontId="4" fillId="0" borderId="18" xfId="38" applyFill="1" applyBorder="1" applyAlignment="1">
      <alignment horizontal="left"/>
    </xf>
    <xf numFmtId="0" fontId="4" fillId="0" borderId="0" xfId="38" applyFill="1" applyAlignment="1">
      <alignment horizontal="center"/>
    </xf>
    <xf numFmtId="0" fontId="4" fillId="0" borderId="18" xfId="38" applyFill="1" applyBorder="1" applyAlignment="1">
      <alignment horizontal="center"/>
    </xf>
    <xf numFmtId="0" fontId="41" fillId="0" borderId="0" xfId="38" applyFont="1" applyBorder="1"/>
    <xf numFmtId="0" fontId="29" fillId="32" borderId="0" xfId="38" applyFont="1" applyFill="1" applyBorder="1" applyAlignment="1">
      <alignment horizontal="left"/>
    </xf>
    <xf numFmtId="0" fontId="4" fillId="32" borderId="0" xfId="38" applyFill="1" applyBorder="1" applyAlignment="1">
      <alignment horizontal="center"/>
    </xf>
    <xf numFmtId="0" fontId="29" fillId="32" borderId="0" xfId="38" applyFont="1" applyFill="1" applyBorder="1" applyAlignment="1">
      <alignment horizontal="center"/>
    </xf>
    <xf numFmtId="0" fontId="4" fillId="33" borderId="0" xfId="38" applyFill="1" applyBorder="1" applyAlignment="1">
      <alignment horizontal="left"/>
    </xf>
    <xf numFmtId="0" fontId="4" fillId="33" borderId="0" xfId="38" applyFill="1" applyBorder="1" applyAlignment="1">
      <alignment horizontal="center"/>
    </xf>
    <xf numFmtId="0" fontId="50" fillId="32" borderId="0" xfId="38" applyFont="1" applyFill="1" applyBorder="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 fillId="0" borderId="0" xfId="38" applyFont="1" applyFill="1" applyProtection="1">
      <protection hidden="1"/>
    </xf>
    <xf numFmtId="0" fontId="41" fillId="0" borderId="0" xfId="0" applyFont="1" applyFill="1" applyProtection="1">
      <protection hidden="1"/>
    </xf>
    <xf numFmtId="0" fontId="5" fillId="30" borderId="0" xfId="0" applyFont="1" applyFill="1" applyBorder="1"/>
    <xf numFmtId="0" fontId="0" fillId="30" borderId="0" xfId="0" applyFill="1" applyAlignment="1">
      <alignment horizontal="center"/>
    </xf>
    <xf numFmtId="0" fontId="0" fillId="34" borderId="0" xfId="0" applyFill="1"/>
    <xf numFmtId="0" fontId="5" fillId="34" borderId="0" xfId="0" applyFont="1" applyFill="1" applyBorder="1"/>
    <xf numFmtId="0" fontId="0" fillId="34" borderId="0" xfId="0" applyFill="1" applyAlignment="1">
      <alignment horizontal="center"/>
    </xf>
    <xf numFmtId="164" fontId="0" fillId="0" borderId="0" xfId="0" applyNumberFormat="1"/>
    <xf numFmtId="0" fontId="40" fillId="0" borderId="0" xfId="38" applyFont="1" applyFill="1" applyProtection="1">
      <protection hidden="1"/>
    </xf>
    <xf numFmtId="0" fontId="40" fillId="0" borderId="0" xfId="38" applyFont="1" applyFill="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Fill="1" applyBorder="1" applyAlignment="1"/>
    <xf numFmtId="0" fontId="41" fillId="0" borderId="0" xfId="38" applyFont="1" applyFill="1" applyBorder="1" applyAlignment="1">
      <alignment horizontal="center"/>
    </xf>
    <xf numFmtId="9" fontId="41" fillId="0" borderId="0" xfId="51" applyFont="1" applyBorder="1" applyAlignment="1">
      <alignment horizontal="left"/>
    </xf>
    <xf numFmtId="0" fontId="41" fillId="0" borderId="0" xfId="38" applyFont="1" applyFill="1" applyAlignment="1" applyProtection="1">
      <alignment horizontal="center"/>
      <protection hidden="1"/>
    </xf>
    <xf numFmtId="0" fontId="41" fillId="0" borderId="0" xfId="38" applyFont="1" applyFill="1"/>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Fill="1" applyBorder="1" applyAlignment="1" applyProtection="1">
      <alignment horizontal="left" vertical="center"/>
      <protection hidden="1"/>
    </xf>
    <xf numFmtId="0" fontId="31" fillId="0" borderId="0" xfId="0" applyFont="1" applyFill="1" applyBorder="1" applyAlignment="1">
      <alignment horizontal="center"/>
    </xf>
    <xf numFmtId="0" fontId="4" fillId="0" borderId="15" xfId="38" applyBorder="1" applyAlignment="1">
      <alignment horizontal="center"/>
    </xf>
    <xf numFmtId="0" fontId="7" fillId="0" borderId="0" xfId="38" applyFont="1" applyFill="1" applyBorder="1" applyAlignment="1" applyProtection="1">
      <alignment horizontal="center"/>
      <protection hidden="1"/>
    </xf>
    <xf numFmtId="0" fontId="0" fillId="0" borderId="0" xfId="0" applyAlignment="1">
      <alignment horizontal="center"/>
    </xf>
    <xf numFmtId="0" fontId="0" fillId="0" borderId="0" xfId="0"/>
    <xf numFmtId="0" fontId="26" fillId="0" borderId="0" xfId="0" applyFont="1" applyFill="1" applyBorder="1" applyAlignment="1">
      <alignment horizontal="center"/>
    </xf>
    <xf numFmtId="0" fontId="4" fillId="0" borderId="0" xfId="38" applyFont="1" applyFill="1" applyBorder="1" applyAlignment="1">
      <alignment horizontal="center"/>
    </xf>
    <xf numFmtId="0" fontId="4" fillId="0" borderId="16" xfId="38" applyFill="1" applyBorder="1" applyAlignment="1">
      <alignment horizontal="center"/>
    </xf>
    <xf numFmtId="0" fontId="4" fillId="0" borderId="0" xfId="38" applyFill="1" applyBorder="1" applyAlignment="1">
      <alignment horizontal="center"/>
    </xf>
    <xf numFmtId="0" fontId="4" fillId="0" borderId="19" xfId="38" applyBorder="1" applyAlignment="1">
      <alignment horizontal="center"/>
    </xf>
    <xf numFmtId="0" fontId="41" fillId="0" borderId="0" xfId="38" applyFont="1" applyBorder="1" applyAlignment="1">
      <alignment horizontal="center"/>
    </xf>
    <xf numFmtId="0" fontId="4" fillId="0" borderId="0" xfId="38" applyBorder="1" applyAlignment="1">
      <alignment horizontal="center"/>
    </xf>
    <xf numFmtId="0" fontId="35" fillId="0" borderId="0" xfId="0" applyFont="1" applyFill="1" applyAlignment="1" applyProtection="1">
      <alignment horizontal="center"/>
      <protection hidden="1"/>
    </xf>
    <xf numFmtId="0" fontId="34" fillId="0" borderId="20" xfId="0" applyFont="1" applyFill="1" applyBorder="1" applyAlignment="1" applyProtection="1">
      <alignment horizontal="center" vertical="top"/>
      <protection hidden="1"/>
    </xf>
    <xf numFmtId="0" fontId="1" fillId="2" borderId="0" xfId="0" applyFont="1" applyFill="1" applyAlignment="1" applyProtection="1">
      <alignment horizontal="center"/>
      <protection hidden="1"/>
    </xf>
    <xf numFmtId="0" fontId="1" fillId="2" borderId="0" xfId="0" applyFont="1" applyFill="1" applyBorder="1" applyAlignment="1" applyProtection="1">
      <alignment horizontal="center"/>
      <protection hidden="1"/>
    </xf>
    <xf numFmtId="0" fontId="34" fillId="0" borderId="0" xfId="0" applyFont="1" applyFill="1" applyBorder="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101">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fill>
        <patternFill>
          <bgColor rgb="FF00B0F0"/>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0"/>
        </patternFill>
      </fill>
    </dxf>
    <dxf>
      <fill>
        <patternFill>
          <bgColor theme="1"/>
        </patternFill>
      </fill>
      <border>
        <right style="thin">
          <color auto="1"/>
        </right>
      </border>
    </dxf>
    <dxf>
      <fill>
        <patternFill>
          <bgColor theme="0"/>
        </patternFill>
      </fill>
    </dxf>
    <dxf>
      <fill>
        <patternFill>
          <bgColor theme="0"/>
        </patternFill>
      </fill>
    </dxf>
    <dxf>
      <fill>
        <patternFill>
          <bgColor theme="0"/>
        </patternFill>
      </fill>
    </dxf>
    <dxf>
      <fill>
        <patternFill>
          <bgColor theme="1"/>
        </patternFill>
      </fill>
    </dxf>
    <dxf>
      <fill>
        <patternFill patternType="none">
          <bgColor auto="1"/>
        </patternFill>
      </fill>
    </dxf>
    <dxf>
      <fill>
        <patternFill>
          <bgColor theme="0"/>
        </patternFill>
      </fill>
    </dxf>
    <dxf>
      <fill>
        <patternFill>
          <bgColor theme="1"/>
        </patternFill>
      </fill>
    </dxf>
    <dxf>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ill>
        <patternFill>
          <bgColor theme="0"/>
        </patternFill>
      </fill>
    </dxf>
    <dxf>
      <fill>
        <patternFill>
          <bgColor theme="1"/>
        </patternFill>
      </fill>
    </dxf>
    <dxf>
      <fill>
        <patternFill>
          <bgColor indexed="8"/>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indexed="65"/>
        </patternFill>
      </fill>
    </dxf>
    <dxf>
      <fill>
        <patternFill>
          <bgColor theme="0"/>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patternType="none">
          <bgColor indexed="65"/>
        </patternFill>
      </fill>
    </dxf>
    <dxf>
      <fill>
        <patternFill>
          <bgColor indexed="8"/>
        </patternFill>
      </fill>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4</c:v>
                </c:pt>
              </c:numCache>
            </c:numRef>
          </c:val>
          <c:extLst>
            <c:ext xmlns:c16="http://schemas.microsoft.com/office/drawing/2014/chart" uri="{C3380CC4-5D6E-409C-BE32-E72D297353CC}">
              <c16:uniqueId val="{00000000-899E-4BC1-AF09-6DC1B1BC83D7}"/>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65</c:v>
                </c:pt>
              </c:numCache>
            </c:numRef>
          </c:val>
          <c:extLst>
            <c:ext xmlns:c16="http://schemas.microsoft.com/office/drawing/2014/chart" uri="{C3380CC4-5D6E-409C-BE32-E72D297353CC}">
              <c16:uniqueId val="{00000001-899E-4BC1-AF09-6DC1B1BC83D7}"/>
            </c:ext>
          </c:extLst>
        </c:ser>
        <c:dLbls>
          <c:showLegendKey val="0"/>
          <c:showVal val="0"/>
          <c:showCatName val="0"/>
          <c:showSerName val="0"/>
          <c:showPercent val="0"/>
          <c:showBubbleSize val="0"/>
        </c:dLbls>
        <c:gapWidth val="0"/>
        <c:overlap val="-50"/>
        <c:axId val="258669184"/>
        <c:axId val="259588480"/>
      </c:barChart>
      <c:catAx>
        <c:axId val="258669184"/>
        <c:scaling>
          <c:orientation val="minMax"/>
        </c:scaling>
        <c:delete val="1"/>
        <c:axPos val="l"/>
        <c:majorTickMark val="out"/>
        <c:minorTickMark val="none"/>
        <c:tickLblPos val="nextTo"/>
        <c:crossAx val="259588480"/>
        <c:crosses val="autoZero"/>
        <c:auto val="1"/>
        <c:lblAlgn val="ctr"/>
        <c:lblOffset val="100"/>
        <c:noMultiLvlLbl val="0"/>
      </c:catAx>
      <c:valAx>
        <c:axId val="25958848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5866918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12FC-496B-93CB-7D88E94B309E}"/>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12FC-496B-93CB-7D88E94B309E}"/>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12FC-496B-93CB-7D88E94B309E}"/>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12FC-496B-93CB-7D88E94B309E}"/>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12FC-496B-93CB-7D88E94B309E}"/>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12FC-496B-93CB-7D88E94B309E}"/>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12FC-496B-93CB-7D88E94B309E}"/>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12FC-496B-93CB-7D88E94B309E}"/>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12FC-496B-93CB-7D88E94B309E}"/>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12FC-496B-93CB-7D88E94B309E}"/>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12FC-496B-93CB-7D88E94B309E}"/>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12</c:v>
                </c:pt>
              </c:numCache>
            </c:numRef>
          </c:val>
          <c:extLst>
            <c:ext xmlns:c16="http://schemas.microsoft.com/office/drawing/2014/chart" uri="{C3380CC4-5D6E-409C-BE32-E72D297353CC}">
              <c16:uniqueId val="{0000000B-12FC-496B-93CB-7D88E94B309E}"/>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12FC-496B-93CB-7D88E94B309E}"/>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12FC-496B-93CB-7D88E94B309E}"/>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57</c:v>
                </c:pt>
              </c:numCache>
            </c:numRef>
          </c:val>
          <c:extLst>
            <c:ext xmlns:c16="http://schemas.microsoft.com/office/drawing/2014/chart" uri="{C3380CC4-5D6E-409C-BE32-E72D297353CC}">
              <c16:uniqueId val="{0000000E-12FC-496B-93CB-7D88E94B309E}"/>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57</c:v>
                </c:pt>
              </c:numCache>
            </c:numRef>
          </c:val>
          <c:extLst>
            <c:ext xmlns:c16="http://schemas.microsoft.com/office/drawing/2014/chart" uri="{C3380CC4-5D6E-409C-BE32-E72D297353CC}">
              <c16:uniqueId val="{0000000F-12FC-496B-93CB-7D88E94B309E}"/>
            </c:ext>
          </c:extLst>
        </c:ser>
        <c:dLbls>
          <c:showLegendKey val="0"/>
          <c:showVal val="0"/>
          <c:showCatName val="0"/>
          <c:showSerName val="0"/>
          <c:showPercent val="0"/>
          <c:showBubbleSize val="0"/>
        </c:dLbls>
        <c:gapWidth val="0"/>
        <c:axId val="262286336"/>
        <c:axId val="262333184"/>
      </c:barChart>
      <c:catAx>
        <c:axId val="262286336"/>
        <c:scaling>
          <c:orientation val="minMax"/>
        </c:scaling>
        <c:delete val="1"/>
        <c:axPos val="l"/>
        <c:majorTickMark val="out"/>
        <c:minorTickMark val="none"/>
        <c:tickLblPos val="nextTo"/>
        <c:crossAx val="262333184"/>
        <c:crosses val="autoZero"/>
        <c:auto val="1"/>
        <c:lblAlgn val="ctr"/>
        <c:lblOffset val="100"/>
        <c:noMultiLvlLbl val="0"/>
      </c:catAx>
      <c:valAx>
        <c:axId val="26233318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26228633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18</c:v>
                </c:pt>
              </c:numCache>
            </c:numRef>
          </c:val>
          <c:extLst>
            <c:ext xmlns:c16="http://schemas.microsoft.com/office/drawing/2014/chart" uri="{C3380CC4-5D6E-409C-BE32-E72D297353CC}">
              <c16:uniqueId val="{00000000-7AB4-4FB8-8FD0-75A2614C0FE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51</c:v>
                </c:pt>
              </c:numCache>
            </c:numRef>
          </c:val>
          <c:extLst>
            <c:ext xmlns:c16="http://schemas.microsoft.com/office/drawing/2014/chart" uri="{C3380CC4-5D6E-409C-BE32-E72D297353CC}">
              <c16:uniqueId val="{00000001-7AB4-4FB8-8FD0-75A2614C0FE1}"/>
            </c:ext>
          </c:extLst>
        </c:ser>
        <c:dLbls>
          <c:showLegendKey val="0"/>
          <c:showVal val="0"/>
          <c:showCatName val="0"/>
          <c:showSerName val="0"/>
          <c:showPercent val="0"/>
          <c:showBubbleSize val="0"/>
        </c:dLbls>
        <c:gapWidth val="0"/>
        <c:overlap val="-50"/>
        <c:axId val="259618688"/>
        <c:axId val="259620224"/>
      </c:barChart>
      <c:catAx>
        <c:axId val="259618688"/>
        <c:scaling>
          <c:orientation val="minMax"/>
        </c:scaling>
        <c:delete val="1"/>
        <c:axPos val="l"/>
        <c:majorTickMark val="out"/>
        <c:minorTickMark val="none"/>
        <c:tickLblPos val="nextTo"/>
        <c:crossAx val="259620224"/>
        <c:crosses val="autoZero"/>
        <c:auto val="1"/>
        <c:lblAlgn val="ctr"/>
        <c:lblOffset val="100"/>
        <c:noMultiLvlLbl val="0"/>
      </c:catAx>
      <c:valAx>
        <c:axId val="25962022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5961868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61</c:v>
                </c:pt>
              </c:numCache>
            </c:numRef>
          </c:val>
          <c:extLst>
            <c:ext xmlns:c16="http://schemas.microsoft.com/office/drawing/2014/chart" uri="{C3380CC4-5D6E-409C-BE32-E72D297353CC}">
              <c16:uniqueId val="{00000000-B450-4FB8-A400-CF7CBDA9BC34}"/>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8</c:v>
                </c:pt>
              </c:numCache>
            </c:numRef>
          </c:val>
          <c:extLst>
            <c:ext xmlns:c16="http://schemas.microsoft.com/office/drawing/2014/chart" uri="{C3380CC4-5D6E-409C-BE32-E72D297353CC}">
              <c16:uniqueId val="{00000001-B450-4FB8-A400-CF7CBDA9BC34}"/>
            </c:ext>
          </c:extLst>
        </c:ser>
        <c:dLbls>
          <c:showLegendKey val="0"/>
          <c:showVal val="0"/>
          <c:showCatName val="0"/>
          <c:showSerName val="0"/>
          <c:showPercent val="0"/>
          <c:showBubbleSize val="0"/>
        </c:dLbls>
        <c:gapWidth val="0"/>
        <c:overlap val="-50"/>
        <c:axId val="262025984"/>
        <c:axId val="262027520"/>
      </c:barChart>
      <c:catAx>
        <c:axId val="262025984"/>
        <c:scaling>
          <c:orientation val="minMax"/>
        </c:scaling>
        <c:delete val="1"/>
        <c:axPos val="l"/>
        <c:majorTickMark val="out"/>
        <c:minorTickMark val="none"/>
        <c:tickLblPos val="nextTo"/>
        <c:crossAx val="262027520"/>
        <c:crosses val="autoZero"/>
        <c:auto val="1"/>
        <c:lblAlgn val="ctr"/>
        <c:lblOffset val="100"/>
        <c:noMultiLvlLbl val="0"/>
      </c:catAx>
      <c:valAx>
        <c:axId val="26202752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6202598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69</c:v>
                </c:pt>
              </c:numCache>
            </c:numRef>
          </c:val>
          <c:extLst>
            <c:ext xmlns:c16="http://schemas.microsoft.com/office/drawing/2014/chart" uri="{C3380CC4-5D6E-409C-BE32-E72D297353CC}">
              <c16:uniqueId val="{00000000-D6CD-42FC-B545-5DC5D16E591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0</c:v>
                </c:pt>
              </c:numCache>
            </c:numRef>
          </c:val>
          <c:extLst>
            <c:ext xmlns:c16="http://schemas.microsoft.com/office/drawing/2014/chart" uri="{C3380CC4-5D6E-409C-BE32-E72D297353CC}">
              <c16:uniqueId val="{00000001-D6CD-42FC-B545-5DC5D16E5913}"/>
            </c:ext>
          </c:extLst>
        </c:ser>
        <c:dLbls>
          <c:showLegendKey val="0"/>
          <c:showVal val="0"/>
          <c:showCatName val="0"/>
          <c:showSerName val="0"/>
          <c:showPercent val="0"/>
          <c:showBubbleSize val="0"/>
        </c:dLbls>
        <c:gapWidth val="0"/>
        <c:overlap val="-50"/>
        <c:axId val="262053888"/>
        <c:axId val="262055424"/>
      </c:barChart>
      <c:catAx>
        <c:axId val="262053888"/>
        <c:scaling>
          <c:orientation val="minMax"/>
        </c:scaling>
        <c:delete val="1"/>
        <c:axPos val="l"/>
        <c:majorTickMark val="out"/>
        <c:minorTickMark val="none"/>
        <c:tickLblPos val="nextTo"/>
        <c:crossAx val="262055424"/>
        <c:crosses val="autoZero"/>
        <c:auto val="1"/>
        <c:lblAlgn val="ctr"/>
        <c:lblOffset val="100"/>
        <c:noMultiLvlLbl val="0"/>
      </c:catAx>
      <c:valAx>
        <c:axId val="26205542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6205388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6</c:v>
                </c:pt>
              </c:numCache>
            </c:numRef>
          </c:val>
          <c:extLst>
            <c:ext xmlns:c16="http://schemas.microsoft.com/office/drawing/2014/chart" uri="{C3380CC4-5D6E-409C-BE32-E72D297353CC}">
              <c16:uniqueId val="{00000000-0006-42F3-9D2F-BCAB2757C81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63</c:v>
                </c:pt>
              </c:numCache>
            </c:numRef>
          </c:val>
          <c:extLst>
            <c:ext xmlns:c16="http://schemas.microsoft.com/office/drawing/2014/chart" uri="{C3380CC4-5D6E-409C-BE32-E72D297353CC}">
              <c16:uniqueId val="{00000001-0006-42F3-9D2F-BCAB2757C815}"/>
            </c:ext>
          </c:extLst>
        </c:ser>
        <c:dLbls>
          <c:showLegendKey val="0"/>
          <c:showVal val="0"/>
          <c:showCatName val="0"/>
          <c:showSerName val="0"/>
          <c:showPercent val="0"/>
          <c:showBubbleSize val="0"/>
        </c:dLbls>
        <c:gapWidth val="0"/>
        <c:overlap val="-50"/>
        <c:axId val="262544384"/>
        <c:axId val="262562560"/>
      </c:barChart>
      <c:catAx>
        <c:axId val="262544384"/>
        <c:scaling>
          <c:orientation val="minMax"/>
        </c:scaling>
        <c:delete val="1"/>
        <c:axPos val="l"/>
        <c:majorTickMark val="out"/>
        <c:minorTickMark val="none"/>
        <c:tickLblPos val="nextTo"/>
        <c:crossAx val="262562560"/>
        <c:crosses val="autoZero"/>
        <c:auto val="1"/>
        <c:lblAlgn val="ctr"/>
        <c:lblOffset val="100"/>
        <c:noMultiLvlLbl val="0"/>
      </c:catAx>
      <c:valAx>
        <c:axId val="26256256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6254438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61</c:v>
                </c:pt>
              </c:numCache>
            </c:numRef>
          </c:val>
          <c:extLst>
            <c:ext xmlns:c16="http://schemas.microsoft.com/office/drawing/2014/chart" uri="{C3380CC4-5D6E-409C-BE32-E72D297353CC}">
              <c16:uniqueId val="{00000000-5499-4423-AC33-81CF9507C4DE}"/>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8</c:v>
                </c:pt>
              </c:numCache>
            </c:numRef>
          </c:val>
          <c:extLst>
            <c:ext xmlns:c16="http://schemas.microsoft.com/office/drawing/2014/chart" uri="{C3380CC4-5D6E-409C-BE32-E72D297353CC}">
              <c16:uniqueId val="{00000001-5499-4423-AC33-81CF9507C4DE}"/>
            </c:ext>
          </c:extLst>
        </c:ser>
        <c:dLbls>
          <c:showLegendKey val="0"/>
          <c:showVal val="0"/>
          <c:showCatName val="0"/>
          <c:showSerName val="0"/>
          <c:showPercent val="0"/>
          <c:showBubbleSize val="0"/>
        </c:dLbls>
        <c:gapWidth val="0"/>
        <c:overlap val="-50"/>
        <c:axId val="262805760"/>
        <c:axId val="262819840"/>
      </c:barChart>
      <c:catAx>
        <c:axId val="262805760"/>
        <c:scaling>
          <c:orientation val="minMax"/>
        </c:scaling>
        <c:delete val="1"/>
        <c:axPos val="l"/>
        <c:majorTickMark val="out"/>
        <c:minorTickMark val="none"/>
        <c:tickLblPos val="nextTo"/>
        <c:crossAx val="262819840"/>
        <c:crosses val="autoZero"/>
        <c:auto val="1"/>
        <c:lblAlgn val="ctr"/>
        <c:lblOffset val="100"/>
        <c:noMultiLvlLbl val="0"/>
      </c:catAx>
      <c:valAx>
        <c:axId val="26281984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6280576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1</c:v>
                </c:pt>
              </c:numCache>
            </c:numRef>
          </c:val>
          <c:extLst>
            <c:ext xmlns:c16="http://schemas.microsoft.com/office/drawing/2014/chart" uri="{C3380CC4-5D6E-409C-BE32-E72D297353CC}">
              <c16:uniqueId val="{00000000-5620-4E15-A1FB-41C938E7CAC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68</c:v>
                </c:pt>
              </c:numCache>
            </c:numRef>
          </c:val>
          <c:extLst>
            <c:ext xmlns:c16="http://schemas.microsoft.com/office/drawing/2014/chart" uri="{C3380CC4-5D6E-409C-BE32-E72D297353CC}">
              <c16:uniqueId val="{00000001-5620-4E15-A1FB-41C938E7CAC6}"/>
            </c:ext>
          </c:extLst>
        </c:ser>
        <c:dLbls>
          <c:showLegendKey val="0"/>
          <c:showVal val="0"/>
          <c:showCatName val="0"/>
          <c:showSerName val="0"/>
          <c:showPercent val="0"/>
          <c:showBubbleSize val="0"/>
        </c:dLbls>
        <c:gapWidth val="0"/>
        <c:overlap val="-50"/>
        <c:axId val="262841856"/>
        <c:axId val="262843392"/>
      </c:barChart>
      <c:catAx>
        <c:axId val="262841856"/>
        <c:scaling>
          <c:orientation val="minMax"/>
        </c:scaling>
        <c:delete val="1"/>
        <c:axPos val="l"/>
        <c:majorTickMark val="out"/>
        <c:minorTickMark val="none"/>
        <c:tickLblPos val="nextTo"/>
        <c:crossAx val="262843392"/>
        <c:crosses val="autoZero"/>
        <c:auto val="1"/>
        <c:lblAlgn val="ctr"/>
        <c:lblOffset val="100"/>
        <c:noMultiLvlLbl val="0"/>
      </c:catAx>
      <c:valAx>
        <c:axId val="2628433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628418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57</c:v>
                </c:pt>
              </c:numCache>
            </c:numRef>
          </c:val>
          <c:extLst>
            <c:ext xmlns:c16="http://schemas.microsoft.com/office/drawing/2014/chart" uri="{C3380CC4-5D6E-409C-BE32-E72D297353CC}">
              <c16:uniqueId val="{00000000-7978-4D74-8D9E-F4FB1108566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7978-4D74-8D9E-F4FB11085663}"/>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12</c:v>
                </c:pt>
              </c:numCache>
            </c:numRef>
          </c:val>
          <c:extLst>
            <c:ext xmlns:c16="http://schemas.microsoft.com/office/drawing/2014/chart" uri="{C3380CC4-5D6E-409C-BE32-E72D297353CC}">
              <c16:uniqueId val="{00000002-7978-4D74-8D9E-F4FB11085663}"/>
            </c:ext>
          </c:extLst>
        </c:ser>
        <c:dLbls>
          <c:showLegendKey val="0"/>
          <c:showVal val="0"/>
          <c:showCatName val="0"/>
          <c:showSerName val="0"/>
          <c:showPercent val="0"/>
          <c:showBubbleSize val="0"/>
        </c:dLbls>
        <c:gapWidth val="0"/>
        <c:overlap val="-50"/>
        <c:axId val="269632256"/>
        <c:axId val="269633792"/>
      </c:barChart>
      <c:catAx>
        <c:axId val="269632256"/>
        <c:scaling>
          <c:orientation val="minMax"/>
        </c:scaling>
        <c:delete val="1"/>
        <c:axPos val="l"/>
        <c:majorTickMark val="out"/>
        <c:minorTickMark val="none"/>
        <c:tickLblPos val="nextTo"/>
        <c:crossAx val="269633792"/>
        <c:crosses val="autoZero"/>
        <c:auto val="1"/>
        <c:lblAlgn val="ctr"/>
        <c:lblOffset val="100"/>
        <c:noMultiLvlLbl val="0"/>
      </c:catAx>
      <c:valAx>
        <c:axId val="269633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6963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69</c:v>
                </c:pt>
              </c:numCache>
            </c:numRef>
          </c:val>
          <c:extLst>
            <c:ext xmlns:c16="http://schemas.microsoft.com/office/drawing/2014/chart" uri="{C3380CC4-5D6E-409C-BE32-E72D297353CC}">
              <c16:uniqueId val="{00000000-1C23-46E6-B797-7381895B5737}"/>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69</c:v>
                </c:pt>
              </c:numCache>
            </c:numRef>
          </c:val>
          <c:extLst>
            <c:ext xmlns:c16="http://schemas.microsoft.com/office/drawing/2014/chart" uri="{C3380CC4-5D6E-409C-BE32-E72D297353CC}">
              <c16:uniqueId val="{00000001-1C23-46E6-B797-7381895B5737}"/>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74</c:v>
                </c:pt>
              </c:numCache>
            </c:numRef>
          </c:val>
          <c:extLst>
            <c:ext xmlns:c16="http://schemas.microsoft.com/office/drawing/2014/chart" uri="{C3380CC4-5D6E-409C-BE32-E72D297353CC}">
              <c16:uniqueId val="{00000002-1C23-46E6-B797-7381895B5737}"/>
            </c:ext>
          </c:extLst>
        </c:ser>
        <c:dLbls>
          <c:showLegendKey val="0"/>
          <c:showVal val="0"/>
          <c:showCatName val="0"/>
          <c:showSerName val="0"/>
          <c:showPercent val="0"/>
          <c:showBubbleSize val="0"/>
        </c:dLbls>
        <c:gapWidth val="0"/>
        <c:axId val="269673984"/>
        <c:axId val="269675520"/>
      </c:barChart>
      <c:catAx>
        <c:axId val="269673984"/>
        <c:scaling>
          <c:orientation val="minMax"/>
        </c:scaling>
        <c:delete val="1"/>
        <c:axPos val="l"/>
        <c:majorTickMark val="out"/>
        <c:minorTickMark val="none"/>
        <c:tickLblPos val="nextTo"/>
        <c:crossAx val="269675520"/>
        <c:crosses val="autoZero"/>
        <c:auto val="1"/>
        <c:lblAlgn val="ctr"/>
        <c:lblOffset val="100"/>
        <c:noMultiLvlLbl val="0"/>
      </c:catAx>
      <c:valAx>
        <c:axId val="269675520"/>
        <c:scaling>
          <c:orientation val="minMax"/>
          <c:max val="250"/>
          <c:min val="0"/>
        </c:scaling>
        <c:delete val="1"/>
        <c:axPos val="b"/>
        <c:numFmt formatCode="General" sourceLinked="1"/>
        <c:majorTickMark val="out"/>
        <c:minorTickMark val="none"/>
        <c:tickLblPos val="nextTo"/>
        <c:crossAx val="269673984"/>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Drop" dropLines="12" dropStyle="combo" dx="25" fmlaLink="$P$13" fmlaRange="Engine!$H$2:$H$75"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8.png"/><Relationship Id="rId3" Type="http://schemas.openxmlformats.org/officeDocument/2006/relationships/image" Target="../media/image16.png"/><Relationship Id="rId7" Type="http://schemas.openxmlformats.org/officeDocument/2006/relationships/image" Target="../media/image3.png"/><Relationship Id="rId12" Type="http://schemas.openxmlformats.org/officeDocument/2006/relationships/image" Target="../media/image5.png"/><Relationship Id="rId2" Type="http://schemas.openxmlformats.org/officeDocument/2006/relationships/image" Target="../media/image11.png"/><Relationship Id="rId16" Type="http://schemas.openxmlformats.org/officeDocument/2006/relationships/image" Target="../media/image9.png"/><Relationship Id="rId1" Type="http://schemas.openxmlformats.org/officeDocument/2006/relationships/image" Target="../media/image7.png"/><Relationship Id="rId6" Type="http://schemas.openxmlformats.org/officeDocument/2006/relationships/image" Target="../media/image4.png"/><Relationship Id="rId11" Type="http://schemas.openxmlformats.org/officeDocument/2006/relationships/image" Target="../media/image8.png"/><Relationship Id="rId5" Type="http://schemas.openxmlformats.org/officeDocument/2006/relationships/image" Target="../media/image12.png"/><Relationship Id="rId15" Type="http://schemas.openxmlformats.org/officeDocument/2006/relationships/image" Target="../media/image15.png"/><Relationship Id="rId10" Type="http://schemas.openxmlformats.org/officeDocument/2006/relationships/image" Target="../media/image6.png"/><Relationship Id="rId4" Type="http://schemas.openxmlformats.org/officeDocument/2006/relationships/image" Target="../media/image17.png"/><Relationship Id="rId9" Type="http://schemas.openxmlformats.org/officeDocument/2006/relationships/image" Target="../media/image10.png"/><Relationship Id="rId1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44450</xdr:rowOff>
    </xdr:from>
    <xdr:to>
      <xdr:col>4</xdr:col>
      <xdr:colOff>2101850</xdr:colOff>
      <xdr:row>29</xdr:row>
      <xdr:rowOff>44450</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90311</xdr:colOff>
      <xdr:row>1</xdr:row>
      <xdr:rowOff>89606</xdr:rowOff>
    </xdr:from>
    <xdr:to>
      <xdr:col>4</xdr:col>
      <xdr:colOff>694266</xdr:colOff>
      <xdr:row>1</xdr:row>
      <xdr:rowOff>845256</xdr:rowOff>
    </xdr:to>
    <xdr:grpSp>
      <xdr:nvGrpSpPr>
        <xdr:cNvPr id="18" name="Group 22">
          <a:extLst>
            <a:ext uri="{FF2B5EF4-FFF2-40B4-BE49-F238E27FC236}">
              <a16:creationId xmlns:a16="http://schemas.microsoft.com/office/drawing/2014/main" id="{00000000-0008-0000-0000-000012000000}"/>
            </a:ext>
          </a:extLst>
        </xdr:cNvPr>
        <xdr:cNvGrpSpPr>
          <a:grpSpLocks/>
        </xdr:cNvGrpSpPr>
      </xdr:nvGrpSpPr>
      <xdr:grpSpPr bwMode="auto">
        <a:xfrm>
          <a:off x="144740" y="144035"/>
          <a:ext cx="2530726" cy="755650"/>
          <a:chOff x="0" y="0"/>
          <a:chExt cx="2562315" cy="755650"/>
        </a:xfrm>
      </xdr:grpSpPr>
      <xdr:grpSp>
        <xdr:nvGrpSpPr>
          <xdr:cNvPr id="19" name="Group 16">
            <a:extLst>
              <a:ext uri="{FF2B5EF4-FFF2-40B4-BE49-F238E27FC236}">
                <a16:creationId xmlns:a16="http://schemas.microsoft.com/office/drawing/2014/main" id="{00000000-0008-0000-0000-000013000000}"/>
              </a:ext>
            </a:extLst>
          </xdr:cNvPr>
          <xdr:cNvGrpSpPr>
            <a:grpSpLocks/>
          </xdr:cNvGrpSpPr>
        </xdr:nvGrpSpPr>
        <xdr:grpSpPr bwMode="auto">
          <a:xfrm>
            <a:off x="0" y="0"/>
            <a:ext cx="2562315" cy="755650"/>
            <a:chOff x="4540250" y="927100"/>
            <a:chExt cx="2562316" cy="755970"/>
          </a:xfrm>
        </xdr:grpSpPr>
        <xdr:pic>
          <xdr:nvPicPr>
            <xdr:cNvPr id="26" name="Picture 18">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Picture 19">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5" name="TextBox 24">
            <a:extLst>
              <a:ext uri="{FF2B5EF4-FFF2-40B4-BE49-F238E27FC236}">
                <a16:creationId xmlns:a16="http://schemas.microsoft.com/office/drawing/2014/main" id="{00000000-0008-0000-0000-000019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21</a:t>
            </a:r>
          </a:p>
        </xdr:txBody>
      </xdr:sp>
    </xdr:grpSp>
    <xdr:clientData/>
  </xdr:twoCellAnchor>
  <xdr:twoCellAnchor>
    <xdr:from>
      <xdr:col>7</xdr:col>
      <xdr:colOff>63500</xdr:colOff>
      <xdr:row>4</xdr:row>
      <xdr:rowOff>25400</xdr:rowOff>
    </xdr:from>
    <xdr:to>
      <xdr:col>7</xdr:col>
      <xdr:colOff>558800</xdr:colOff>
      <xdr:row>6</xdr:row>
      <xdr:rowOff>139700</xdr:rowOff>
    </xdr:to>
    <xdr:pic>
      <xdr:nvPicPr>
        <xdr:cNvPr id="20" name="Picture 97">
          <a:extLst>
            <a:ext uri="{FF2B5EF4-FFF2-40B4-BE49-F238E27FC236}">
              <a16:creationId xmlns:a16="http://schemas.microsoft.com/office/drawing/2014/main" id="{AAA51AA9-EC9A-4C91-A0D3-3E2E2247694C}"/>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7</xdr:row>
      <xdr:rowOff>19050</xdr:rowOff>
    </xdr:from>
    <xdr:to>
      <xdr:col>7</xdr:col>
      <xdr:colOff>533400</xdr:colOff>
      <xdr:row>9</xdr:row>
      <xdr:rowOff>139700</xdr:rowOff>
    </xdr:to>
    <xdr:pic>
      <xdr:nvPicPr>
        <xdr:cNvPr id="21" name="Picture 96">
          <a:extLst>
            <a:ext uri="{FF2B5EF4-FFF2-40B4-BE49-F238E27FC236}">
              <a16:creationId xmlns:a16="http://schemas.microsoft.com/office/drawing/2014/main" id="{644B0156-FC54-4433-9FFF-27BEAADC0D2D}"/>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95250" y="352425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13</xdr:row>
      <xdr:rowOff>19050</xdr:rowOff>
    </xdr:from>
    <xdr:to>
      <xdr:col>7</xdr:col>
      <xdr:colOff>558800</xdr:colOff>
      <xdr:row>15</xdr:row>
      <xdr:rowOff>146050</xdr:rowOff>
    </xdr:to>
    <xdr:pic>
      <xdr:nvPicPr>
        <xdr:cNvPr id="22" name="Picture 39">
          <a:extLst>
            <a:ext uri="{FF2B5EF4-FFF2-40B4-BE49-F238E27FC236}">
              <a16:creationId xmlns:a16="http://schemas.microsoft.com/office/drawing/2014/main" id="{AE5CDFFB-92B4-4018-A936-B561DE3FEA9B}"/>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16</xdr:row>
      <xdr:rowOff>19050</xdr:rowOff>
    </xdr:from>
    <xdr:to>
      <xdr:col>7</xdr:col>
      <xdr:colOff>539750</xdr:colOff>
      <xdr:row>18</xdr:row>
      <xdr:rowOff>146050</xdr:rowOff>
    </xdr:to>
    <xdr:pic>
      <xdr:nvPicPr>
        <xdr:cNvPr id="23" name="Picture 100">
          <a:extLst>
            <a:ext uri="{FF2B5EF4-FFF2-40B4-BE49-F238E27FC236}">
              <a16:creationId xmlns:a16="http://schemas.microsoft.com/office/drawing/2014/main" id="{59695F34-A418-4F86-9FDD-FB1B4C6024FC}"/>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82550</xdr:colOff>
      <xdr:row>22</xdr:row>
      <xdr:rowOff>25400</xdr:rowOff>
    </xdr:from>
    <xdr:to>
      <xdr:col>7</xdr:col>
      <xdr:colOff>577850</xdr:colOff>
      <xdr:row>24</xdr:row>
      <xdr:rowOff>139700</xdr:rowOff>
    </xdr:to>
    <xdr:pic>
      <xdr:nvPicPr>
        <xdr:cNvPr id="24" name="Picture 89">
          <a:extLst>
            <a:ext uri="{FF2B5EF4-FFF2-40B4-BE49-F238E27FC236}">
              <a16:creationId xmlns:a16="http://schemas.microsoft.com/office/drawing/2014/main" id="{C8223E14-ED38-4AD1-9FA2-FC825D4E6984}"/>
            </a:ext>
          </a:extLst>
        </xdr:cNvPr>
        <xdr:cNvPicPr preferRelativeResize="0">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76200</xdr:colOff>
      <xdr:row>25</xdr:row>
      <xdr:rowOff>19050</xdr:rowOff>
    </xdr:from>
    <xdr:to>
      <xdr:col>7</xdr:col>
      <xdr:colOff>533400</xdr:colOff>
      <xdr:row>28</xdr:row>
      <xdr:rowOff>0</xdr:rowOff>
    </xdr:to>
    <xdr:pic>
      <xdr:nvPicPr>
        <xdr:cNvPr id="28" name="Picture 102">
          <a:extLst>
            <a:ext uri="{FF2B5EF4-FFF2-40B4-BE49-F238E27FC236}">
              <a16:creationId xmlns:a16="http://schemas.microsoft.com/office/drawing/2014/main" id="{DB780711-3832-4393-BC5F-84EF34145199}"/>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678180" y="3524250"/>
          <a:ext cx="457200" cy="483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69851</xdr:colOff>
      <xdr:row>30</xdr:row>
      <xdr:rowOff>152401</xdr:rowOff>
    </xdr:from>
    <xdr:to>
      <xdr:col>7</xdr:col>
      <xdr:colOff>546101</xdr:colOff>
      <xdr:row>33</xdr:row>
      <xdr:rowOff>152401</xdr:rowOff>
    </xdr:to>
    <xdr:pic>
      <xdr:nvPicPr>
        <xdr:cNvPr id="29" name="Picture 28">
          <a:extLst>
            <a:ext uri="{FF2B5EF4-FFF2-40B4-BE49-F238E27FC236}">
              <a16:creationId xmlns:a16="http://schemas.microsoft.com/office/drawing/2014/main" id="{5BE4D9EA-F910-4123-91E3-FD92F3CB4277}"/>
            </a:ext>
          </a:extLst>
        </xdr:cNvPr>
        <xdr:cNvPicPr>
          <a:picLocks noChangeAspect="1"/>
        </xdr:cNvPicPr>
      </xdr:nvPicPr>
      <xdr:blipFill>
        <a:blip xmlns:r="http://schemas.openxmlformats.org/officeDocument/2006/relationships" r:embed="rId19"/>
        <a:stretch>
          <a:fillRect/>
        </a:stretch>
      </xdr:blipFill>
      <xdr:spPr>
        <a:xfrm>
          <a:off x="69851" y="2987041"/>
          <a:ext cx="476250" cy="502920"/>
        </a:xfrm>
        <a:prstGeom prst="rect">
          <a:avLst/>
        </a:prstGeom>
      </xdr:spPr>
    </xdr:pic>
    <xdr:clientData/>
  </xdr:twoCellAnchor>
  <xdr:twoCellAnchor>
    <xdr:from>
      <xdr:col>7</xdr:col>
      <xdr:colOff>114300</xdr:colOff>
      <xdr:row>34</xdr:row>
      <xdr:rowOff>31750</xdr:rowOff>
    </xdr:from>
    <xdr:to>
      <xdr:col>7</xdr:col>
      <xdr:colOff>539750</xdr:colOff>
      <xdr:row>36</xdr:row>
      <xdr:rowOff>139700</xdr:rowOff>
    </xdr:to>
    <xdr:pic>
      <xdr:nvPicPr>
        <xdr:cNvPr id="30" name="Picture 99">
          <a:extLst>
            <a:ext uri="{FF2B5EF4-FFF2-40B4-BE49-F238E27FC236}">
              <a16:creationId xmlns:a16="http://schemas.microsoft.com/office/drawing/2014/main" id="{E7D5A52E-9B22-446E-97BD-730A321BB359}"/>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4</xdr:row>
      <xdr:rowOff>19050</xdr:rowOff>
    </xdr:from>
    <xdr:to>
      <xdr:col>13</xdr:col>
      <xdr:colOff>539750</xdr:colOff>
      <xdr:row>6</xdr:row>
      <xdr:rowOff>146050</xdr:rowOff>
    </xdr:to>
    <xdr:pic>
      <xdr:nvPicPr>
        <xdr:cNvPr id="31" name="Picture 90">
          <a:extLst>
            <a:ext uri="{FF2B5EF4-FFF2-40B4-BE49-F238E27FC236}">
              <a16:creationId xmlns:a16="http://schemas.microsoft.com/office/drawing/2014/main" id="{FD6AA5B0-6CEB-4170-915A-20ED32EB6FD6}"/>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7</xdr:row>
      <xdr:rowOff>19050</xdr:rowOff>
    </xdr:from>
    <xdr:to>
      <xdr:col>13</xdr:col>
      <xdr:colOff>546100</xdr:colOff>
      <xdr:row>9</xdr:row>
      <xdr:rowOff>152400</xdr:rowOff>
    </xdr:to>
    <xdr:pic>
      <xdr:nvPicPr>
        <xdr:cNvPr id="32" name="Picture 93">
          <a:extLst>
            <a:ext uri="{FF2B5EF4-FFF2-40B4-BE49-F238E27FC236}">
              <a16:creationId xmlns:a16="http://schemas.microsoft.com/office/drawing/2014/main" id="{DC0DA9B1-F6B4-4226-B9CF-3F28C4BB5EB3}"/>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13</xdr:row>
      <xdr:rowOff>19050</xdr:rowOff>
    </xdr:from>
    <xdr:to>
      <xdr:col>13</xdr:col>
      <xdr:colOff>546100</xdr:colOff>
      <xdr:row>15</xdr:row>
      <xdr:rowOff>152400</xdr:rowOff>
    </xdr:to>
    <xdr:pic>
      <xdr:nvPicPr>
        <xdr:cNvPr id="33" name="Picture 32">
          <a:extLst>
            <a:ext uri="{FF2B5EF4-FFF2-40B4-BE49-F238E27FC236}">
              <a16:creationId xmlns:a16="http://schemas.microsoft.com/office/drawing/2014/main" id="{F63A87A7-DA55-4525-A9F2-6FE3B6AE1244}"/>
            </a:ext>
          </a:extLst>
        </xdr:cNvPr>
        <xdr:cNvPicPr>
          <a:picLocks noChangeAspect="1"/>
        </xdr:cNvPicPr>
      </xdr:nvPicPr>
      <xdr:blipFill>
        <a:blip xmlns:r="http://schemas.openxmlformats.org/officeDocument/2006/relationships" r:embed="rId23"/>
        <a:stretch>
          <a:fillRect/>
        </a:stretch>
      </xdr:blipFill>
      <xdr:spPr>
        <a:xfrm>
          <a:off x="95250" y="2518410"/>
          <a:ext cx="450850" cy="468630"/>
        </a:xfrm>
        <a:prstGeom prst="rect">
          <a:avLst/>
        </a:prstGeom>
      </xdr:spPr>
    </xdr:pic>
    <xdr:clientData/>
  </xdr:twoCellAnchor>
  <xdr:twoCellAnchor>
    <xdr:from>
      <xdr:col>13</xdr:col>
      <xdr:colOff>95250</xdr:colOff>
      <xdr:row>16</xdr:row>
      <xdr:rowOff>12700</xdr:rowOff>
    </xdr:from>
    <xdr:to>
      <xdr:col>13</xdr:col>
      <xdr:colOff>546100</xdr:colOff>
      <xdr:row>18</xdr:row>
      <xdr:rowOff>146050</xdr:rowOff>
    </xdr:to>
    <xdr:pic>
      <xdr:nvPicPr>
        <xdr:cNvPr id="34" name="Picture 98">
          <a:extLst>
            <a:ext uri="{FF2B5EF4-FFF2-40B4-BE49-F238E27FC236}">
              <a16:creationId xmlns:a16="http://schemas.microsoft.com/office/drawing/2014/main" id="{82FC9C04-DA34-4D8B-B8BD-9EDAA837C759}"/>
            </a:ext>
          </a:extLst>
        </xdr:cNvPr>
        <xdr:cNvPicPr preferRelativeResize="0">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22</xdr:row>
      <xdr:rowOff>31750</xdr:rowOff>
    </xdr:from>
    <xdr:to>
      <xdr:col>13</xdr:col>
      <xdr:colOff>533400</xdr:colOff>
      <xdr:row>24</xdr:row>
      <xdr:rowOff>139700</xdr:rowOff>
    </xdr:to>
    <xdr:pic>
      <xdr:nvPicPr>
        <xdr:cNvPr id="35" name="Picture 34">
          <a:extLst>
            <a:ext uri="{FF2B5EF4-FFF2-40B4-BE49-F238E27FC236}">
              <a16:creationId xmlns:a16="http://schemas.microsoft.com/office/drawing/2014/main" id="{8DD6F8C3-E0DE-4A2F-B183-1194B6E46039}"/>
            </a:ext>
          </a:extLst>
        </xdr:cNvPr>
        <xdr:cNvPicPr>
          <a:picLocks noChangeAspect="1"/>
        </xdr:cNvPicPr>
      </xdr:nvPicPr>
      <xdr:blipFill>
        <a:blip xmlns:r="http://schemas.openxmlformats.org/officeDocument/2006/relationships" r:embed="rId25"/>
        <a:stretch>
          <a:fillRect/>
        </a:stretch>
      </xdr:blipFill>
      <xdr:spPr>
        <a:xfrm>
          <a:off x="709930" y="2531110"/>
          <a:ext cx="425450" cy="443230"/>
        </a:xfrm>
        <a:prstGeom prst="rect">
          <a:avLst/>
        </a:prstGeom>
      </xdr:spPr>
    </xdr:pic>
    <xdr:clientData/>
  </xdr:twoCellAnchor>
  <xdr:twoCellAnchor>
    <xdr:from>
      <xdr:col>13</xdr:col>
      <xdr:colOff>107950</xdr:colOff>
      <xdr:row>25</xdr:row>
      <xdr:rowOff>25400</xdr:rowOff>
    </xdr:from>
    <xdr:to>
      <xdr:col>13</xdr:col>
      <xdr:colOff>539750</xdr:colOff>
      <xdr:row>27</xdr:row>
      <xdr:rowOff>139700</xdr:rowOff>
    </xdr:to>
    <xdr:pic>
      <xdr:nvPicPr>
        <xdr:cNvPr id="36" name="Picture 91">
          <a:extLst>
            <a:ext uri="{FF2B5EF4-FFF2-40B4-BE49-F238E27FC236}">
              <a16:creationId xmlns:a16="http://schemas.microsoft.com/office/drawing/2014/main" id="{8CA16F8A-17D2-4EB1-8285-8A3285A60EF3}"/>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101600</xdr:colOff>
      <xdr:row>31</xdr:row>
      <xdr:rowOff>25400</xdr:rowOff>
    </xdr:from>
    <xdr:to>
      <xdr:col>13</xdr:col>
      <xdr:colOff>539750</xdr:colOff>
      <xdr:row>33</xdr:row>
      <xdr:rowOff>146050</xdr:rowOff>
    </xdr:to>
    <xdr:pic>
      <xdr:nvPicPr>
        <xdr:cNvPr id="37" name="Picture 92">
          <a:extLst>
            <a:ext uri="{FF2B5EF4-FFF2-40B4-BE49-F238E27FC236}">
              <a16:creationId xmlns:a16="http://schemas.microsoft.com/office/drawing/2014/main" id="{0E11402D-D2FC-4374-9933-71ECB29DA77F}"/>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34</xdr:row>
      <xdr:rowOff>19050</xdr:rowOff>
    </xdr:from>
    <xdr:to>
      <xdr:col>13</xdr:col>
      <xdr:colOff>552475</xdr:colOff>
      <xdr:row>36</xdr:row>
      <xdr:rowOff>139725</xdr:rowOff>
    </xdr:to>
    <xdr:pic>
      <xdr:nvPicPr>
        <xdr:cNvPr id="38" name="Picture 37">
          <a:extLst>
            <a:ext uri="{FF2B5EF4-FFF2-40B4-BE49-F238E27FC236}">
              <a16:creationId xmlns:a16="http://schemas.microsoft.com/office/drawing/2014/main" id="{EA898B13-7962-485C-B080-F32283A0C00A}"/>
            </a:ext>
          </a:extLst>
        </xdr:cNvPr>
        <xdr:cNvPicPr>
          <a:picLocks noChangeAspect="1"/>
        </xdr:cNvPicPr>
      </xdr:nvPicPr>
      <xdr:blipFill>
        <a:blip xmlns:r="http://schemas.openxmlformats.org/officeDocument/2006/relationships" r:embed="rId28"/>
        <a:stretch>
          <a:fillRect/>
        </a:stretch>
      </xdr:blipFill>
      <xdr:spPr>
        <a:xfrm>
          <a:off x="665480" y="3021330"/>
          <a:ext cx="488975" cy="4559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95250</xdr:colOff>
      <xdr:row>0</xdr:row>
      <xdr:rowOff>107950</xdr:rowOff>
    </xdr:from>
    <xdr:to>
      <xdr:col>4</xdr:col>
      <xdr:colOff>304800</xdr:colOff>
      <xdr:row>0</xdr:row>
      <xdr:rowOff>863600</xdr:rowOff>
    </xdr:to>
    <xdr:grpSp>
      <xdr:nvGrpSpPr>
        <xdr:cNvPr id="9" name="Group 22">
          <a:extLst>
            <a:ext uri="{FF2B5EF4-FFF2-40B4-BE49-F238E27FC236}">
              <a16:creationId xmlns:a16="http://schemas.microsoft.com/office/drawing/2014/main" id="{00000000-0008-0000-0100-000009000000}"/>
            </a:ext>
          </a:extLst>
        </xdr:cNvPr>
        <xdr:cNvGrpSpPr>
          <a:grpSpLocks/>
        </xdr:cNvGrpSpPr>
      </xdr:nvGrpSpPr>
      <xdr:grpSpPr bwMode="auto">
        <a:xfrm>
          <a:off x="95250" y="107950"/>
          <a:ext cx="2526030" cy="755650"/>
          <a:chOff x="0" y="0"/>
          <a:chExt cx="2562315" cy="755650"/>
        </a:xfrm>
      </xdr:grpSpPr>
      <xdr:grpSp>
        <xdr:nvGrpSpPr>
          <xdr:cNvPr id="10" name="Group 16">
            <a:extLst>
              <a:ext uri="{FF2B5EF4-FFF2-40B4-BE49-F238E27FC236}">
                <a16:creationId xmlns:a16="http://schemas.microsoft.com/office/drawing/2014/main" id="{00000000-0008-0000-0100-00000A000000}"/>
              </a:ext>
            </a:extLst>
          </xdr:cNvPr>
          <xdr:cNvGrpSpPr>
            <a:grpSpLocks/>
          </xdr:cNvGrpSpPr>
        </xdr:nvGrpSpPr>
        <xdr:grpSpPr bwMode="auto">
          <a:xfrm>
            <a:off x="0" y="0"/>
            <a:ext cx="2562315" cy="755650"/>
            <a:chOff x="4540250" y="927100"/>
            <a:chExt cx="2562316" cy="755970"/>
          </a:xfrm>
        </xdr:grpSpPr>
        <xdr:pic>
          <xdr:nvPicPr>
            <xdr:cNvPr id="17" name="Picture 18">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Picture 19">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6" name="TextBox 15">
            <a:extLst>
              <a:ext uri="{FF2B5EF4-FFF2-40B4-BE49-F238E27FC236}">
                <a16:creationId xmlns:a16="http://schemas.microsoft.com/office/drawing/2014/main" id="{00000000-0008-0000-0100-000010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21</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22</xdr:row>
      <xdr:rowOff>19050</xdr:rowOff>
    </xdr:from>
    <xdr:to>
      <xdr:col>1</xdr:col>
      <xdr:colOff>533400</xdr:colOff>
      <xdr:row>25</xdr:row>
      <xdr:rowOff>0</xdr:rowOff>
    </xdr:to>
    <xdr:pic>
      <xdr:nvPicPr>
        <xdr:cNvPr id="30" name="Picture 102">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98500" y="3575050"/>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19</xdr:row>
      <xdr:rowOff>19050</xdr:rowOff>
    </xdr:from>
    <xdr:to>
      <xdr:col>1</xdr:col>
      <xdr:colOff>552475</xdr:colOff>
      <xdr:row>21</xdr:row>
      <xdr:rowOff>139725</xdr:rowOff>
    </xdr:to>
    <xdr:pic>
      <xdr:nvPicPr>
        <xdr:cNvPr id="23" name="Picture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3"/>
        <a:stretch>
          <a:fillRect/>
        </a:stretch>
      </xdr:blipFill>
      <xdr:spPr>
        <a:xfrm>
          <a:off x="685800" y="3035300"/>
          <a:ext cx="488975" cy="438175"/>
        </a:xfrm>
        <a:prstGeom prst="rect">
          <a:avLst/>
        </a:prstGeom>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4"/>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5"/>
        <a:stretch>
          <a:fillRect/>
        </a:stretch>
      </xdr:blipFill>
      <xdr:spPr>
        <a:xfrm>
          <a:off x="730250" y="2571750"/>
          <a:ext cx="425450" cy="425450"/>
        </a:xfrm>
        <a:prstGeom prst="rect">
          <a:avLst/>
        </a:prstGeom>
      </xdr:spPr>
    </xdr:pic>
    <xdr:clientData/>
  </xdr:twoCellAnchor>
  <xdr:twoCellAnchor>
    <xdr:from>
      <xdr:col>0</xdr:col>
      <xdr:colOff>69851</xdr:colOff>
      <xdr:row>18</xdr:row>
      <xdr:rowOff>152401</xdr:rowOff>
    </xdr:from>
    <xdr:to>
      <xdr:col>0</xdr:col>
      <xdr:colOff>546101</xdr:colOff>
      <xdr:row>21</xdr:row>
      <xdr:rowOff>152401</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6"/>
        <a:stretch>
          <a:fillRect/>
        </a:stretch>
      </xdr:blipFill>
      <xdr:spPr>
        <a:xfrm>
          <a:off x="69851" y="3009901"/>
          <a:ext cx="476250" cy="476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FFFF00"/>
  </sheetPr>
  <dimension ref="A1:IS60"/>
  <sheetViews>
    <sheetView showGridLines="0" showRowColHeaders="0" tabSelected="1" zoomScale="70" zoomScaleNormal="70" workbookViewId="0">
      <selection activeCell="E31" sqref="E31"/>
    </sheetView>
  </sheetViews>
  <sheetFormatPr defaultRowHeight="14.4" x14ac:dyDescent="0.3"/>
  <cols>
    <col min="1" max="1" width="0.77734375" style="18" customWidth="1"/>
    <col min="2" max="2" width="3.77734375" style="18" customWidth="1"/>
    <col min="3" max="3" width="12.21875" style="21" bestFit="1" customWidth="1"/>
    <col min="4" max="4" width="12" style="18" bestFit="1" customWidth="1"/>
    <col min="5" max="5" width="30.21875" style="18" customWidth="1"/>
    <col min="6" max="6" width="5.44140625" style="18" customWidth="1"/>
    <col min="7" max="7" width="2.44140625" style="18" customWidth="1"/>
    <col min="8" max="8" width="8.77734375" style="18"/>
    <col min="9" max="9" width="12" style="18" customWidth="1"/>
    <col min="10" max="10" width="12" style="18" bestFit="1" customWidth="1"/>
    <col min="11" max="11" width="7.5546875" style="18" bestFit="1" customWidth="1"/>
    <col min="12" max="12" width="1.77734375" style="18" customWidth="1"/>
    <col min="13" max="13" width="2.44140625" style="140" customWidth="1"/>
    <col min="14" max="14" width="8.77734375" style="18"/>
    <col min="15" max="16" width="12" style="18" customWidth="1"/>
    <col min="17" max="17" width="7.5546875" style="142" bestFit="1" customWidth="1"/>
    <col min="18" max="18" width="2.21875" style="18" customWidth="1"/>
    <col min="19" max="21" width="9.21875" style="81" bestFit="1" customWidth="1"/>
    <col min="22" max="27" width="9.21875" style="81" customWidth="1"/>
    <col min="28" max="28" width="9.21875" style="155" customWidth="1"/>
    <col min="29" max="29" width="9.21875" style="81" customWidth="1"/>
    <col min="30" max="30" width="10.21875" style="81" customWidth="1"/>
    <col min="31" max="31" width="5.77734375" style="81" customWidth="1"/>
    <col min="32" max="32" width="8.21875" style="81" customWidth="1"/>
    <col min="33" max="33" width="9.77734375" style="81" customWidth="1"/>
    <col min="34" max="34" width="8.21875" style="81" customWidth="1"/>
    <col min="35" max="35" width="6.77734375" style="163" hidden="1" customWidth="1"/>
    <col min="36" max="36" width="7.77734375" style="162" customWidth="1"/>
    <col min="37" max="40" width="9.21875" style="20" customWidth="1"/>
    <col min="41" max="41" width="9.21875" style="19" customWidth="1"/>
    <col min="42" max="43" width="9.21875" style="77" customWidth="1"/>
    <col min="44" max="45" width="8.77734375" style="76"/>
    <col min="46" max="253" width="8.77734375" style="18"/>
    <col min="254" max="255" width="8.77734375" style="18" customWidth="1"/>
    <col min="256" max="257" width="0.77734375" style="18" customWidth="1"/>
    <col min="258" max="258" width="3.77734375" style="18" customWidth="1"/>
    <col min="259" max="259" width="12.21875" style="18" bestFit="1" customWidth="1"/>
    <col min="260" max="260" width="12" style="18" bestFit="1" customWidth="1"/>
    <col min="261" max="261" width="30.21875" style="18" customWidth="1"/>
    <col min="262" max="262" width="5.44140625" style="18" customWidth="1"/>
    <col min="263" max="263" width="2.44140625" style="18" customWidth="1"/>
    <col min="264" max="264" width="8.77734375" style="18"/>
    <col min="265" max="265" width="12" style="18" customWidth="1"/>
    <col min="266" max="266" width="12" style="18" bestFit="1" customWidth="1"/>
    <col min="267" max="267" width="7.5546875" style="18" bestFit="1" customWidth="1"/>
    <col min="268" max="268" width="1.77734375" style="18" customWidth="1"/>
    <col min="269" max="269" width="2.44140625" style="18" customWidth="1"/>
    <col min="270" max="270" width="8.77734375" style="18"/>
    <col min="271" max="272" width="12" style="18" customWidth="1"/>
    <col min="273" max="273" width="7.5546875" style="18" bestFit="1" customWidth="1"/>
    <col min="274" max="274" width="2.21875" style="18" customWidth="1"/>
    <col min="275" max="277" width="9.21875" style="18" bestFit="1" customWidth="1"/>
    <col min="278" max="285" width="9.21875" style="18" customWidth="1"/>
    <col min="286" max="286" width="10.21875" style="18" customWidth="1"/>
    <col min="287" max="287" width="5.77734375" style="18" customWidth="1"/>
    <col min="288" max="288" width="8.21875" style="18" customWidth="1"/>
    <col min="289" max="289" width="9.77734375" style="18" customWidth="1"/>
    <col min="290" max="290" width="8.21875" style="18" customWidth="1"/>
    <col min="291" max="291" width="6.77734375" style="18" customWidth="1"/>
    <col min="292" max="292" width="7.77734375" style="18" customWidth="1"/>
    <col min="293" max="299" width="9.21875" style="18" customWidth="1"/>
    <col min="300" max="509" width="8.77734375" style="18"/>
    <col min="510" max="511" width="8.77734375" style="18" customWidth="1"/>
    <col min="512" max="513" width="0.77734375" style="18" customWidth="1"/>
    <col min="514" max="514" width="3.77734375" style="18" customWidth="1"/>
    <col min="515" max="515" width="12.21875" style="18" bestFit="1" customWidth="1"/>
    <col min="516" max="516" width="12" style="18" bestFit="1" customWidth="1"/>
    <col min="517" max="517" width="30.21875" style="18" customWidth="1"/>
    <col min="518" max="518" width="5.44140625" style="18" customWidth="1"/>
    <col min="519" max="519" width="2.44140625" style="18" customWidth="1"/>
    <col min="520" max="520" width="8.77734375" style="18"/>
    <col min="521" max="521" width="12" style="18" customWidth="1"/>
    <col min="522" max="522" width="12" style="18" bestFit="1" customWidth="1"/>
    <col min="523" max="523" width="7.5546875" style="18" bestFit="1" customWidth="1"/>
    <col min="524" max="524" width="1.77734375" style="18" customWidth="1"/>
    <col min="525" max="525" width="2.44140625" style="18" customWidth="1"/>
    <col min="526" max="526" width="8.77734375" style="18"/>
    <col min="527" max="528" width="12" style="18" customWidth="1"/>
    <col min="529" max="529" width="7.5546875" style="18" bestFit="1" customWidth="1"/>
    <col min="530" max="530" width="2.21875" style="18" customWidth="1"/>
    <col min="531" max="533" width="9.21875" style="18" bestFit="1" customWidth="1"/>
    <col min="534" max="541" width="9.21875" style="18" customWidth="1"/>
    <col min="542" max="542" width="10.21875" style="18" customWidth="1"/>
    <col min="543" max="543" width="5.77734375" style="18" customWidth="1"/>
    <col min="544" max="544" width="8.21875" style="18" customWidth="1"/>
    <col min="545" max="545" width="9.77734375" style="18" customWidth="1"/>
    <col min="546" max="546" width="8.21875" style="18" customWidth="1"/>
    <col min="547" max="547" width="6.77734375" style="18" customWidth="1"/>
    <col min="548" max="548" width="7.77734375" style="18" customWidth="1"/>
    <col min="549" max="555" width="9.21875" style="18" customWidth="1"/>
    <col min="556" max="765" width="8.77734375" style="18"/>
    <col min="766" max="767" width="8.77734375" style="18" customWidth="1"/>
    <col min="768" max="769" width="0.77734375" style="18" customWidth="1"/>
    <col min="770" max="770" width="3.77734375" style="18" customWidth="1"/>
    <col min="771" max="771" width="12.21875" style="18" bestFit="1" customWidth="1"/>
    <col min="772" max="772" width="12" style="18" bestFit="1" customWidth="1"/>
    <col min="773" max="773" width="30.21875" style="18" customWidth="1"/>
    <col min="774" max="774" width="5.44140625" style="18" customWidth="1"/>
    <col min="775" max="775" width="2.44140625" style="18" customWidth="1"/>
    <col min="776" max="776" width="8.77734375" style="18"/>
    <col min="777" max="777" width="12" style="18" customWidth="1"/>
    <col min="778" max="778" width="12" style="18" bestFit="1" customWidth="1"/>
    <col min="779" max="779" width="7.5546875" style="18" bestFit="1" customWidth="1"/>
    <col min="780" max="780" width="1.77734375" style="18" customWidth="1"/>
    <col min="781" max="781" width="2.44140625" style="18" customWidth="1"/>
    <col min="782" max="782" width="8.77734375" style="18"/>
    <col min="783" max="784" width="12" style="18" customWidth="1"/>
    <col min="785" max="785" width="7.5546875" style="18" bestFit="1" customWidth="1"/>
    <col min="786" max="786" width="2.21875" style="18" customWidth="1"/>
    <col min="787" max="789" width="9.21875" style="18" bestFit="1" customWidth="1"/>
    <col min="790" max="797" width="9.21875" style="18" customWidth="1"/>
    <col min="798" max="798" width="10.21875" style="18" customWidth="1"/>
    <col min="799" max="799" width="5.77734375" style="18" customWidth="1"/>
    <col min="800" max="800" width="8.21875" style="18" customWidth="1"/>
    <col min="801" max="801" width="9.77734375" style="18" customWidth="1"/>
    <col min="802" max="802" width="8.21875" style="18" customWidth="1"/>
    <col min="803" max="803" width="6.77734375" style="18" customWidth="1"/>
    <col min="804" max="804" width="7.77734375" style="18" customWidth="1"/>
    <col min="805" max="811" width="9.21875" style="18" customWidth="1"/>
    <col min="812" max="1021" width="8.77734375" style="18"/>
    <col min="1022" max="1023" width="8.77734375" style="18" customWidth="1"/>
    <col min="1024" max="1025" width="0.77734375" style="18" customWidth="1"/>
    <col min="1026" max="1026" width="3.77734375" style="18" customWidth="1"/>
    <col min="1027" max="1027" width="12.21875" style="18" bestFit="1" customWidth="1"/>
    <col min="1028" max="1028" width="12" style="18" bestFit="1" customWidth="1"/>
    <col min="1029" max="1029" width="30.21875" style="18" customWidth="1"/>
    <col min="1030" max="1030" width="5.44140625" style="18" customWidth="1"/>
    <col min="1031" max="1031" width="2.44140625" style="18" customWidth="1"/>
    <col min="1032" max="1032" width="8.77734375" style="18"/>
    <col min="1033" max="1033" width="12" style="18" customWidth="1"/>
    <col min="1034" max="1034" width="12" style="18" bestFit="1" customWidth="1"/>
    <col min="1035" max="1035" width="7.5546875" style="18" bestFit="1" customWidth="1"/>
    <col min="1036" max="1036" width="1.77734375" style="18" customWidth="1"/>
    <col min="1037" max="1037" width="2.44140625" style="18" customWidth="1"/>
    <col min="1038" max="1038" width="8.77734375" style="18"/>
    <col min="1039" max="1040" width="12" style="18" customWidth="1"/>
    <col min="1041" max="1041" width="7.5546875" style="18" bestFit="1" customWidth="1"/>
    <col min="1042" max="1042" width="2.21875" style="18" customWidth="1"/>
    <col min="1043" max="1045" width="9.21875" style="18" bestFit="1" customWidth="1"/>
    <col min="1046" max="1053" width="9.21875" style="18" customWidth="1"/>
    <col min="1054" max="1054" width="10.21875" style="18" customWidth="1"/>
    <col min="1055" max="1055" width="5.77734375" style="18" customWidth="1"/>
    <col min="1056" max="1056" width="8.21875" style="18" customWidth="1"/>
    <col min="1057" max="1057" width="9.77734375" style="18" customWidth="1"/>
    <col min="1058" max="1058" width="8.21875" style="18" customWidth="1"/>
    <col min="1059" max="1059" width="6.77734375" style="18" customWidth="1"/>
    <col min="1060" max="1060" width="7.77734375" style="18" customWidth="1"/>
    <col min="1061" max="1067" width="9.21875" style="18" customWidth="1"/>
    <col min="1068" max="1277" width="8.77734375" style="18"/>
    <col min="1278" max="1279" width="8.77734375" style="18" customWidth="1"/>
    <col min="1280" max="1281" width="0.77734375" style="18" customWidth="1"/>
    <col min="1282" max="1282" width="3.77734375" style="18" customWidth="1"/>
    <col min="1283" max="1283" width="12.21875" style="18" bestFit="1" customWidth="1"/>
    <col min="1284" max="1284" width="12" style="18" bestFit="1" customWidth="1"/>
    <col min="1285" max="1285" width="30.21875" style="18" customWidth="1"/>
    <col min="1286" max="1286" width="5.44140625" style="18" customWidth="1"/>
    <col min="1287" max="1287" width="2.44140625" style="18" customWidth="1"/>
    <col min="1288" max="1288" width="8.77734375" style="18"/>
    <col min="1289" max="1289" width="12" style="18" customWidth="1"/>
    <col min="1290" max="1290" width="12" style="18" bestFit="1" customWidth="1"/>
    <col min="1291" max="1291" width="7.5546875" style="18" bestFit="1" customWidth="1"/>
    <col min="1292" max="1292" width="1.77734375" style="18" customWidth="1"/>
    <col min="1293" max="1293" width="2.44140625" style="18" customWidth="1"/>
    <col min="1294" max="1294" width="8.77734375" style="18"/>
    <col min="1295" max="1296" width="12" style="18" customWidth="1"/>
    <col min="1297" max="1297" width="7.5546875" style="18" bestFit="1" customWidth="1"/>
    <col min="1298" max="1298" width="2.21875" style="18" customWidth="1"/>
    <col min="1299" max="1301" width="9.21875" style="18" bestFit="1" customWidth="1"/>
    <col min="1302" max="1309" width="9.21875" style="18" customWidth="1"/>
    <col min="1310" max="1310" width="10.21875" style="18" customWidth="1"/>
    <col min="1311" max="1311" width="5.77734375" style="18" customWidth="1"/>
    <col min="1312" max="1312" width="8.21875" style="18" customWidth="1"/>
    <col min="1313" max="1313" width="9.77734375" style="18" customWidth="1"/>
    <col min="1314" max="1314" width="8.21875" style="18" customWidth="1"/>
    <col min="1315" max="1315" width="6.77734375" style="18" customWidth="1"/>
    <col min="1316" max="1316" width="7.77734375" style="18" customWidth="1"/>
    <col min="1317" max="1323" width="9.21875" style="18" customWidth="1"/>
    <col min="1324" max="1533" width="8.77734375" style="18"/>
    <col min="1534" max="1535" width="8.77734375" style="18" customWidth="1"/>
    <col min="1536" max="1537" width="0.77734375" style="18" customWidth="1"/>
    <col min="1538" max="1538" width="3.77734375" style="18" customWidth="1"/>
    <col min="1539" max="1539" width="12.21875" style="18" bestFit="1" customWidth="1"/>
    <col min="1540" max="1540" width="12" style="18" bestFit="1" customWidth="1"/>
    <col min="1541" max="1541" width="30.21875" style="18" customWidth="1"/>
    <col min="1542" max="1542" width="5.44140625" style="18" customWidth="1"/>
    <col min="1543" max="1543" width="2.44140625" style="18" customWidth="1"/>
    <col min="1544" max="1544" width="8.77734375" style="18"/>
    <col min="1545" max="1545" width="12" style="18" customWidth="1"/>
    <col min="1546" max="1546" width="12" style="18" bestFit="1" customWidth="1"/>
    <col min="1547" max="1547" width="7.5546875" style="18" bestFit="1" customWidth="1"/>
    <col min="1548" max="1548" width="1.77734375" style="18" customWidth="1"/>
    <col min="1549" max="1549" width="2.44140625" style="18" customWidth="1"/>
    <col min="1550" max="1550" width="8.77734375" style="18"/>
    <col min="1551" max="1552" width="12" style="18" customWidth="1"/>
    <col min="1553" max="1553" width="7.5546875" style="18" bestFit="1" customWidth="1"/>
    <col min="1554" max="1554" width="2.21875" style="18" customWidth="1"/>
    <col min="1555" max="1557" width="9.21875" style="18" bestFit="1" customWidth="1"/>
    <col min="1558" max="1565" width="9.21875" style="18" customWidth="1"/>
    <col min="1566" max="1566" width="10.21875" style="18" customWidth="1"/>
    <col min="1567" max="1567" width="5.77734375" style="18" customWidth="1"/>
    <col min="1568" max="1568" width="8.21875" style="18" customWidth="1"/>
    <col min="1569" max="1569" width="9.77734375" style="18" customWidth="1"/>
    <col min="1570" max="1570" width="8.21875" style="18" customWidth="1"/>
    <col min="1571" max="1571" width="6.77734375" style="18" customWidth="1"/>
    <col min="1572" max="1572" width="7.77734375" style="18" customWidth="1"/>
    <col min="1573" max="1579" width="9.21875" style="18" customWidth="1"/>
    <col min="1580" max="1789" width="8.77734375" style="18"/>
    <col min="1790" max="1791" width="8.77734375" style="18" customWidth="1"/>
    <col min="1792" max="1793" width="0.77734375" style="18" customWidth="1"/>
    <col min="1794" max="1794" width="3.77734375" style="18" customWidth="1"/>
    <col min="1795" max="1795" width="12.21875" style="18" bestFit="1" customWidth="1"/>
    <col min="1796" max="1796" width="12" style="18" bestFit="1" customWidth="1"/>
    <col min="1797" max="1797" width="30.21875" style="18" customWidth="1"/>
    <col min="1798" max="1798" width="5.44140625" style="18" customWidth="1"/>
    <col min="1799" max="1799" width="2.44140625" style="18" customWidth="1"/>
    <col min="1800" max="1800" width="8.77734375" style="18"/>
    <col min="1801" max="1801" width="12" style="18" customWidth="1"/>
    <col min="1802" max="1802" width="12" style="18" bestFit="1" customWidth="1"/>
    <col min="1803" max="1803" width="7.5546875" style="18" bestFit="1" customWidth="1"/>
    <col min="1804" max="1804" width="1.77734375" style="18" customWidth="1"/>
    <col min="1805" max="1805" width="2.44140625" style="18" customWidth="1"/>
    <col min="1806" max="1806" width="8.77734375" style="18"/>
    <col min="1807" max="1808" width="12" style="18" customWidth="1"/>
    <col min="1809" max="1809" width="7.5546875" style="18" bestFit="1" customWidth="1"/>
    <col min="1810" max="1810" width="2.21875" style="18" customWidth="1"/>
    <col min="1811" max="1813" width="9.21875" style="18" bestFit="1" customWidth="1"/>
    <col min="1814" max="1821" width="9.21875" style="18" customWidth="1"/>
    <col min="1822" max="1822" width="10.21875" style="18" customWidth="1"/>
    <col min="1823" max="1823" width="5.77734375" style="18" customWidth="1"/>
    <col min="1824" max="1824" width="8.21875" style="18" customWidth="1"/>
    <col min="1825" max="1825" width="9.77734375" style="18" customWidth="1"/>
    <col min="1826" max="1826" width="8.21875" style="18" customWidth="1"/>
    <col min="1827" max="1827" width="6.77734375" style="18" customWidth="1"/>
    <col min="1828" max="1828" width="7.77734375" style="18" customWidth="1"/>
    <col min="1829" max="1835" width="9.21875" style="18" customWidth="1"/>
    <col min="1836" max="2045" width="8.77734375" style="18"/>
    <col min="2046" max="2047" width="8.77734375" style="18" customWidth="1"/>
    <col min="2048" max="2049" width="0.77734375" style="18" customWidth="1"/>
    <col min="2050" max="2050" width="3.77734375" style="18" customWidth="1"/>
    <col min="2051" max="2051" width="12.21875" style="18" bestFit="1" customWidth="1"/>
    <col min="2052" max="2052" width="12" style="18" bestFit="1" customWidth="1"/>
    <col min="2053" max="2053" width="30.21875" style="18" customWidth="1"/>
    <col min="2054" max="2054" width="5.44140625" style="18" customWidth="1"/>
    <col min="2055" max="2055" width="2.44140625" style="18" customWidth="1"/>
    <col min="2056" max="2056" width="8.77734375" style="18"/>
    <col min="2057" max="2057" width="12" style="18" customWidth="1"/>
    <col min="2058" max="2058" width="12" style="18" bestFit="1" customWidth="1"/>
    <col min="2059" max="2059" width="7.5546875" style="18" bestFit="1" customWidth="1"/>
    <col min="2060" max="2060" width="1.77734375" style="18" customWidth="1"/>
    <col min="2061" max="2061" width="2.44140625" style="18" customWidth="1"/>
    <col min="2062" max="2062" width="8.77734375" style="18"/>
    <col min="2063" max="2064" width="12" style="18" customWidth="1"/>
    <col min="2065" max="2065" width="7.5546875" style="18" bestFit="1" customWidth="1"/>
    <col min="2066" max="2066" width="2.21875" style="18" customWidth="1"/>
    <col min="2067" max="2069" width="9.21875" style="18" bestFit="1" customWidth="1"/>
    <col min="2070" max="2077" width="9.21875" style="18" customWidth="1"/>
    <col min="2078" max="2078" width="10.21875" style="18" customWidth="1"/>
    <col min="2079" max="2079" width="5.77734375" style="18" customWidth="1"/>
    <col min="2080" max="2080" width="8.21875" style="18" customWidth="1"/>
    <col min="2081" max="2081" width="9.77734375" style="18" customWidth="1"/>
    <col min="2082" max="2082" width="8.21875" style="18" customWidth="1"/>
    <col min="2083" max="2083" width="6.77734375" style="18" customWidth="1"/>
    <col min="2084" max="2084" width="7.77734375" style="18" customWidth="1"/>
    <col min="2085" max="2091" width="9.21875" style="18" customWidth="1"/>
    <col min="2092" max="2301" width="8.77734375" style="18"/>
    <col min="2302" max="2303" width="8.77734375" style="18" customWidth="1"/>
    <col min="2304" max="2305" width="0.77734375" style="18" customWidth="1"/>
    <col min="2306" max="2306" width="3.77734375" style="18" customWidth="1"/>
    <col min="2307" max="2307" width="12.21875" style="18" bestFit="1" customWidth="1"/>
    <col min="2308" max="2308" width="12" style="18" bestFit="1" customWidth="1"/>
    <col min="2309" max="2309" width="30.21875" style="18" customWidth="1"/>
    <col min="2310" max="2310" width="5.44140625" style="18" customWidth="1"/>
    <col min="2311" max="2311" width="2.44140625" style="18" customWidth="1"/>
    <col min="2312" max="2312" width="8.77734375" style="18"/>
    <col min="2313" max="2313" width="12" style="18" customWidth="1"/>
    <col min="2314" max="2314" width="12" style="18" bestFit="1" customWidth="1"/>
    <col min="2315" max="2315" width="7.5546875" style="18" bestFit="1" customWidth="1"/>
    <col min="2316" max="2316" width="1.77734375" style="18" customWidth="1"/>
    <col min="2317" max="2317" width="2.44140625" style="18" customWidth="1"/>
    <col min="2318" max="2318" width="8.77734375" style="18"/>
    <col min="2319" max="2320" width="12" style="18" customWidth="1"/>
    <col min="2321" max="2321" width="7.5546875" style="18" bestFit="1" customWidth="1"/>
    <col min="2322" max="2322" width="2.21875" style="18" customWidth="1"/>
    <col min="2323" max="2325" width="9.21875" style="18" bestFit="1" customWidth="1"/>
    <col min="2326" max="2333" width="9.21875" style="18" customWidth="1"/>
    <col min="2334" max="2334" width="10.21875" style="18" customWidth="1"/>
    <col min="2335" max="2335" width="5.77734375" style="18" customWidth="1"/>
    <col min="2336" max="2336" width="8.21875" style="18" customWidth="1"/>
    <col min="2337" max="2337" width="9.77734375" style="18" customWidth="1"/>
    <col min="2338" max="2338" width="8.21875" style="18" customWidth="1"/>
    <col min="2339" max="2339" width="6.77734375" style="18" customWidth="1"/>
    <col min="2340" max="2340" width="7.77734375" style="18" customWidth="1"/>
    <col min="2341" max="2347" width="9.21875" style="18" customWidth="1"/>
    <col min="2348" max="2557" width="8.77734375" style="18"/>
    <col min="2558" max="2559" width="8.77734375" style="18" customWidth="1"/>
    <col min="2560" max="2561" width="0.77734375" style="18" customWidth="1"/>
    <col min="2562" max="2562" width="3.77734375" style="18" customWidth="1"/>
    <col min="2563" max="2563" width="12.21875" style="18" bestFit="1" customWidth="1"/>
    <col min="2564" max="2564" width="12" style="18" bestFit="1" customWidth="1"/>
    <col min="2565" max="2565" width="30.21875" style="18" customWidth="1"/>
    <col min="2566" max="2566" width="5.44140625" style="18" customWidth="1"/>
    <col min="2567" max="2567" width="2.44140625" style="18" customWidth="1"/>
    <col min="2568" max="2568" width="8.77734375" style="18"/>
    <col min="2569" max="2569" width="12" style="18" customWidth="1"/>
    <col min="2570" max="2570" width="12" style="18" bestFit="1" customWidth="1"/>
    <col min="2571" max="2571" width="7.5546875" style="18" bestFit="1" customWidth="1"/>
    <col min="2572" max="2572" width="1.77734375" style="18" customWidth="1"/>
    <col min="2573" max="2573" width="2.44140625" style="18" customWidth="1"/>
    <col min="2574" max="2574" width="8.77734375" style="18"/>
    <col min="2575" max="2576" width="12" style="18" customWidth="1"/>
    <col min="2577" max="2577" width="7.5546875" style="18" bestFit="1" customWidth="1"/>
    <col min="2578" max="2578" width="2.21875" style="18" customWidth="1"/>
    <col min="2579" max="2581" width="9.21875" style="18" bestFit="1" customWidth="1"/>
    <col min="2582" max="2589" width="9.21875" style="18" customWidth="1"/>
    <col min="2590" max="2590" width="10.21875" style="18" customWidth="1"/>
    <col min="2591" max="2591" width="5.77734375" style="18" customWidth="1"/>
    <col min="2592" max="2592" width="8.21875" style="18" customWidth="1"/>
    <col min="2593" max="2593" width="9.77734375" style="18" customWidth="1"/>
    <col min="2594" max="2594" width="8.21875" style="18" customWidth="1"/>
    <col min="2595" max="2595" width="6.77734375" style="18" customWidth="1"/>
    <col min="2596" max="2596" width="7.77734375" style="18" customWidth="1"/>
    <col min="2597" max="2603" width="9.21875" style="18" customWidth="1"/>
    <col min="2604" max="2813" width="8.77734375" style="18"/>
    <col min="2814" max="2815" width="8.77734375" style="18" customWidth="1"/>
    <col min="2816" max="2817" width="0.77734375" style="18" customWidth="1"/>
    <col min="2818" max="2818" width="3.77734375" style="18" customWidth="1"/>
    <col min="2819" max="2819" width="12.21875" style="18" bestFit="1" customWidth="1"/>
    <col min="2820" max="2820" width="12" style="18" bestFit="1" customWidth="1"/>
    <col min="2821" max="2821" width="30.21875" style="18" customWidth="1"/>
    <col min="2822" max="2822" width="5.44140625" style="18" customWidth="1"/>
    <col min="2823" max="2823" width="2.44140625" style="18" customWidth="1"/>
    <col min="2824" max="2824" width="8.77734375" style="18"/>
    <col min="2825" max="2825" width="12" style="18" customWidth="1"/>
    <col min="2826" max="2826" width="12" style="18" bestFit="1" customWidth="1"/>
    <col min="2827" max="2827" width="7.5546875" style="18" bestFit="1" customWidth="1"/>
    <col min="2828" max="2828" width="1.77734375" style="18" customWidth="1"/>
    <col min="2829" max="2829" width="2.44140625" style="18" customWidth="1"/>
    <col min="2830" max="2830" width="8.77734375" style="18"/>
    <col min="2831" max="2832" width="12" style="18" customWidth="1"/>
    <col min="2833" max="2833" width="7.5546875" style="18" bestFit="1" customWidth="1"/>
    <col min="2834" max="2834" width="2.21875" style="18" customWidth="1"/>
    <col min="2835" max="2837" width="9.21875" style="18" bestFit="1" customWidth="1"/>
    <col min="2838" max="2845" width="9.21875" style="18" customWidth="1"/>
    <col min="2846" max="2846" width="10.21875" style="18" customWidth="1"/>
    <col min="2847" max="2847" width="5.77734375" style="18" customWidth="1"/>
    <col min="2848" max="2848" width="8.21875" style="18" customWidth="1"/>
    <col min="2849" max="2849" width="9.77734375" style="18" customWidth="1"/>
    <col min="2850" max="2850" width="8.21875" style="18" customWidth="1"/>
    <col min="2851" max="2851" width="6.77734375" style="18" customWidth="1"/>
    <col min="2852" max="2852" width="7.77734375" style="18" customWidth="1"/>
    <col min="2853" max="2859" width="9.21875" style="18" customWidth="1"/>
    <col min="2860" max="3069" width="8.77734375" style="18"/>
    <col min="3070" max="3071" width="8.77734375" style="18" customWidth="1"/>
    <col min="3072" max="3073" width="0.77734375" style="18" customWidth="1"/>
    <col min="3074" max="3074" width="3.77734375" style="18" customWidth="1"/>
    <col min="3075" max="3075" width="12.21875" style="18" bestFit="1" customWidth="1"/>
    <col min="3076" max="3076" width="12" style="18" bestFit="1" customWidth="1"/>
    <col min="3077" max="3077" width="30.21875" style="18" customWidth="1"/>
    <col min="3078" max="3078" width="5.44140625" style="18" customWidth="1"/>
    <col min="3079" max="3079" width="2.44140625" style="18" customWidth="1"/>
    <col min="3080" max="3080" width="8.77734375" style="18"/>
    <col min="3081" max="3081" width="12" style="18" customWidth="1"/>
    <col min="3082" max="3082" width="12" style="18" bestFit="1" customWidth="1"/>
    <col min="3083" max="3083" width="7.5546875" style="18" bestFit="1" customWidth="1"/>
    <col min="3084" max="3084" width="1.77734375" style="18" customWidth="1"/>
    <col min="3085" max="3085" width="2.44140625" style="18" customWidth="1"/>
    <col min="3086" max="3086" width="8.77734375" style="18"/>
    <col min="3087" max="3088" width="12" style="18" customWidth="1"/>
    <col min="3089" max="3089" width="7.5546875" style="18" bestFit="1" customWidth="1"/>
    <col min="3090" max="3090" width="2.21875" style="18" customWidth="1"/>
    <col min="3091" max="3093" width="9.21875" style="18" bestFit="1" customWidth="1"/>
    <col min="3094" max="3101" width="9.21875" style="18" customWidth="1"/>
    <col min="3102" max="3102" width="10.21875" style="18" customWidth="1"/>
    <col min="3103" max="3103" width="5.77734375" style="18" customWidth="1"/>
    <col min="3104" max="3104" width="8.21875" style="18" customWidth="1"/>
    <col min="3105" max="3105" width="9.77734375" style="18" customWidth="1"/>
    <col min="3106" max="3106" width="8.21875" style="18" customWidth="1"/>
    <col min="3107" max="3107" width="6.77734375" style="18" customWidth="1"/>
    <col min="3108" max="3108" width="7.77734375" style="18" customWidth="1"/>
    <col min="3109" max="3115" width="9.21875" style="18" customWidth="1"/>
    <col min="3116" max="3325" width="8.77734375" style="18"/>
    <col min="3326" max="3327" width="8.77734375" style="18" customWidth="1"/>
    <col min="3328" max="3329" width="0.77734375" style="18" customWidth="1"/>
    <col min="3330" max="3330" width="3.77734375" style="18" customWidth="1"/>
    <col min="3331" max="3331" width="12.21875" style="18" bestFit="1" customWidth="1"/>
    <col min="3332" max="3332" width="12" style="18" bestFit="1" customWidth="1"/>
    <col min="3333" max="3333" width="30.21875" style="18" customWidth="1"/>
    <col min="3334" max="3334" width="5.44140625" style="18" customWidth="1"/>
    <col min="3335" max="3335" width="2.44140625" style="18" customWidth="1"/>
    <col min="3336" max="3336" width="8.77734375" style="18"/>
    <col min="3337" max="3337" width="12" style="18" customWidth="1"/>
    <col min="3338" max="3338" width="12" style="18" bestFit="1" customWidth="1"/>
    <col min="3339" max="3339" width="7.5546875" style="18" bestFit="1" customWidth="1"/>
    <col min="3340" max="3340" width="1.77734375" style="18" customWidth="1"/>
    <col min="3341" max="3341" width="2.44140625" style="18" customWidth="1"/>
    <col min="3342" max="3342" width="8.77734375" style="18"/>
    <col min="3343" max="3344" width="12" style="18" customWidth="1"/>
    <col min="3345" max="3345" width="7.5546875" style="18" bestFit="1" customWidth="1"/>
    <col min="3346" max="3346" width="2.21875" style="18" customWidth="1"/>
    <col min="3347" max="3349" width="9.21875" style="18" bestFit="1" customWidth="1"/>
    <col min="3350" max="3357" width="9.21875" style="18" customWidth="1"/>
    <col min="3358" max="3358" width="10.21875" style="18" customWidth="1"/>
    <col min="3359" max="3359" width="5.77734375" style="18" customWidth="1"/>
    <col min="3360" max="3360" width="8.21875" style="18" customWidth="1"/>
    <col min="3361" max="3361" width="9.77734375" style="18" customWidth="1"/>
    <col min="3362" max="3362" width="8.21875" style="18" customWidth="1"/>
    <col min="3363" max="3363" width="6.77734375" style="18" customWidth="1"/>
    <col min="3364" max="3364" width="7.77734375" style="18" customWidth="1"/>
    <col min="3365" max="3371" width="9.21875" style="18" customWidth="1"/>
    <col min="3372" max="3581" width="8.77734375" style="18"/>
    <col min="3582" max="3583" width="8.77734375" style="18" customWidth="1"/>
    <col min="3584" max="3585" width="0.77734375" style="18" customWidth="1"/>
    <col min="3586" max="3586" width="3.77734375" style="18" customWidth="1"/>
    <col min="3587" max="3587" width="12.21875" style="18" bestFit="1" customWidth="1"/>
    <col min="3588" max="3588" width="12" style="18" bestFit="1" customWidth="1"/>
    <col min="3589" max="3589" width="30.21875" style="18" customWidth="1"/>
    <col min="3590" max="3590" width="5.44140625" style="18" customWidth="1"/>
    <col min="3591" max="3591" width="2.44140625" style="18" customWidth="1"/>
    <col min="3592" max="3592" width="8.77734375" style="18"/>
    <col min="3593" max="3593" width="12" style="18" customWidth="1"/>
    <col min="3594" max="3594" width="12" style="18" bestFit="1" customWidth="1"/>
    <col min="3595" max="3595" width="7.5546875" style="18" bestFit="1" customWidth="1"/>
    <col min="3596" max="3596" width="1.77734375" style="18" customWidth="1"/>
    <col min="3597" max="3597" width="2.44140625" style="18" customWidth="1"/>
    <col min="3598" max="3598" width="8.77734375" style="18"/>
    <col min="3599" max="3600" width="12" style="18" customWidth="1"/>
    <col min="3601" max="3601" width="7.5546875" style="18" bestFit="1" customWidth="1"/>
    <col min="3602" max="3602" width="2.21875" style="18" customWidth="1"/>
    <col min="3603" max="3605" width="9.21875" style="18" bestFit="1" customWidth="1"/>
    <col min="3606" max="3613" width="9.21875" style="18" customWidth="1"/>
    <col min="3614" max="3614" width="10.21875" style="18" customWidth="1"/>
    <col min="3615" max="3615" width="5.77734375" style="18" customWidth="1"/>
    <col min="3616" max="3616" width="8.21875" style="18" customWidth="1"/>
    <col min="3617" max="3617" width="9.77734375" style="18" customWidth="1"/>
    <col min="3618" max="3618" width="8.21875" style="18" customWidth="1"/>
    <col min="3619" max="3619" width="6.77734375" style="18" customWidth="1"/>
    <col min="3620" max="3620" width="7.77734375" style="18" customWidth="1"/>
    <col min="3621" max="3627" width="9.21875" style="18" customWidth="1"/>
    <col min="3628" max="3837" width="8.77734375" style="18"/>
    <col min="3838" max="3839" width="8.77734375" style="18" customWidth="1"/>
    <col min="3840" max="3841" width="0.77734375" style="18" customWidth="1"/>
    <col min="3842" max="3842" width="3.77734375" style="18" customWidth="1"/>
    <col min="3843" max="3843" width="12.21875" style="18" bestFit="1" customWidth="1"/>
    <col min="3844" max="3844" width="12" style="18" bestFit="1" customWidth="1"/>
    <col min="3845" max="3845" width="30.21875" style="18" customWidth="1"/>
    <col min="3846" max="3846" width="5.44140625" style="18" customWidth="1"/>
    <col min="3847" max="3847" width="2.44140625" style="18" customWidth="1"/>
    <col min="3848" max="3848" width="8.77734375" style="18"/>
    <col min="3849" max="3849" width="12" style="18" customWidth="1"/>
    <col min="3850" max="3850" width="12" style="18" bestFit="1" customWidth="1"/>
    <col min="3851" max="3851" width="7.5546875" style="18" bestFit="1" customWidth="1"/>
    <col min="3852" max="3852" width="1.77734375" style="18" customWidth="1"/>
    <col min="3853" max="3853" width="2.44140625" style="18" customWidth="1"/>
    <col min="3854" max="3854" width="8.77734375" style="18"/>
    <col min="3855" max="3856" width="12" style="18" customWidth="1"/>
    <col min="3857" max="3857" width="7.5546875" style="18" bestFit="1" customWidth="1"/>
    <col min="3858" max="3858" width="2.21875" style="18" customWidth="1"/>
    <col min="3859" max="3861" width="9.21875" style="18" bestFit="1" customWidth="1"/>
    <col min="3862" max="3869" width="9.21875" style="18" customWidth="1"/>
    <col min="3870" max="3870" width="10.21875" style="18" customWidth="1"/>
    <col min="3871" max="3871" width="5.77734375" style="18" customWidth="1"/>
    <col min="3872" max="3872" width="8.21875" style="18" customWidth="1"/>
    <col min="3873" max="3873" width="9.77734375" style="18" customWidth="1"/>
    <col min="3874" max="3874" width="8.21875" style="18" customWidth="1"/>
    <col min="3875" max="3875" width="6.77734375" style="18" customWidth="1"/>
    <col min="3876" max="3876" width="7.77734375" style="18" customWidth="1"/>
    <col min="3877" max="3883" width="9.21875" style="18" customWidth="1"/>
    <col min="3884" max="4093" width="8.77734375" style="18"/>
    <col min="4094" max="4095" width="8.77734375" style="18" customWidth="1"/>
    <col min="4096" max="4097" width="0.77734375" style="18" customWidth="1"/>
    <col min="4098" max="4098" width="3.77734375" style="18" customWidth="1"/>
    <col min="4099" max="4099" width="12.21875" style="18" bestFit="1" customWidth="1"/>
    <col min="4100" max="4100" width="12" style="18" bestFit="1" customWidth="1"/>
    <col min="4101" max="4101" width="30.21875" style="18" customWidth="1"/>
    <col min="4102" max="4102" width="5.44140625" style="18" customWidth="1"/>
    <col min="4103" max="4103" width="2.44140625" style="18" customWidth="1"/>
    <col min="4104" max="4104" width="8.77734375" style="18"/>
    <col min="4105" max="4105" width="12" style="18" customWidth="1"/>
    <col min="4106" max="4106" width="12" style="18" bestFit="1" customWidth="1"/>
    <col min="4107" max="4107" width="7.5546875" style="18" bestFit="1" customWidth="1"/>
    <col min="4108" max="4108" width="1.77734375" style="18" customWidth="1"/>
    <col min="4109" max="4109" width="2.44140625" style="18" customWidth="1"/>
    <col min="4110" max="4110" width="8.77734375" style="18"/>
    <col min="4111" max="4112" width="12" style="18" customWidth="1"/>
    <col min="4113" max="4113" width="7.5546875" style="18" bestFit="1" customWidth="1"/>
    <col min="4114" max="4114" width="2.21875" style="18" customWidth="1"/>
    <col min="4115" max="4117" width="9.21875" style="18" bestFit="1" customWidth="1"/>
    <col min="4118" max="4125" width="9.21875" style="18" customWidth="1"/>
    <col min="4126" max="4126" width="10.21875" style="18" customWidth="1"/>
    <col min="4127" max="4127" width="5.77734375" style="18" customWidth="1"/>
    <col min="4128" max="4128" width="8.21875" style="18" customWidth="1"/>
    <col min="4129" max="4129" width="9.77734375" style="18" customWidth="1"/>
    <col min="4130" max="4130" width="8.21875" style="18" customWidth="1"/>
    <col min="4131" max="4131" width="6.77734375" style="18" customWidth="1"/>
    <col min="4132" max="4132" width="7.77734375" style="18" customWidth="1"/>
    <col min="4133" max="4139" width="9.21875" style="18" customWidth="1"/>
    <col min="4140" max="4349" width="8.77734375" style="18"/>
    <col min="4350" max="4351" width="8.77734375" style="18" customWidth="1"/>
    <col min="4352" max="4353" width="0.77734375" style="18" customWidth="1"/>
    <col min="4354" max="4354" width="3.77734375" style="18" customWidth="1"/>
    <col min="4355" max="4355" width="12.21875" style="18" bestFit="1" customWidth="1"/>
    <col min="4356" max="4356" width="12" style="18" bestFit="1" customWidth="1"/>
    <col min="4357" max="4357" width="30.21875" style="18" customWidth="1"/>
    <col min="4358" max="4358" width="5.44140625" style="18" customWidth="1"/>
    <col min="4359" max="4359" width="2.44140625" style="18" customWidth="1"/>
    <col min="4360" max="4360" width="8.77734375" style="18"/>
    <col min="4361" max="4361" width="12" style="18" customWidth="1"/>
    <col min="4362" max="4362" width="12" style="18" bestFit="1" customWidth="1"/>
    <col min="4363" max="4363" width="7.5546875" style="18" bestFit="1" customWidth="1"/>
    <col min="4364" max="4364" width="1.77734375" style="18" customWidth="1"/>
    <col min="4365" max="4365" width="2.44140625" style="18" customWidth="1"/>
    <col min="4366" max="4366" width="8.77734375" style="18"/>
    <col min="4367" max="4368" width="12" style="18" customWidth="1"/>
    <col min="4369" max="4369" width="7.5546875" style="18" bestFit="1" customWidth="1"/>
    <col min="4370" max="4370" width="2.21875" style="18" customWidth="1"/>
    <col min="4371" max="4373" width="9.21875" style="18" bestFit="1" customWidth="1"/>
    <col min="4374" max="4381" width="9.21875" style="18" customWidth="1"/>
    <col min="4382" max="4382" width="10.21875" style="18" customWidth="1"/>
    <col min="4383" max="4383" width="5.77734375" style="18" customWidth="1"/>
    <col min="4384" max="4384" width="8.21875" style="18" customWidth="1"/>
    <col min="4385" max="4385" width="9.77734375" style="18" customWidth="1"/>
    <col min="4386" max="4386" width="8.21875" style="18" customWidth="1"/>
    <col min="4387" max="4387" width="6.77734375" style="18" customWidth="1"/>
    <col min="4388" max="4388" width="7.77734375" style="18" customWidth="1"/>
    <col min="4389" max="4395" width="9.21875" style="18" customWidth="1"/>
    <col min="4396" max="4605" width="8.77734375" style="18"/>
    <col min="4606" max="4607" width="8.77734375" style="18" customWidth="1"/>
    <col min="4608" max="4609" width="0.77734375" style="18" customWidth="1"/>
    <col min="4610" max="4610" width="3.77734375" style="18" customWidth="1"/>
    <col min="4611" max="4611" width="12.21875" style="18" bestFit="1" customWidth="1"/>
    <col min="4612" max="4612" width="12" style="18" bestFit="1" customWidth="1"/>
    <col min="4613" max="4613" width="30.21875" style="18" customWidth="1"/>
    <col min="4614" max="4614" width="5.44140625" style="18" customWidth="1"/>
    <col min="4615" max="4615" width="2.44140625" style="18" customWidth="1"/>
    <col min="4616" max="4616" width="8.77734375" style="18"/>
    <col min="4617" max="4617" width="12" style="18" customWidth="1"/>
    <col min="4618" max="4618" width="12" style="18" bestFit="1" customWidth="1"/>
    <col min="4619" max="4619" width="7.5546875" style="18" bestFit="1" customWidth="1"/>
    <col min="4620" max="4620" width="1.77734375" style="18" customWidth="1"/>
    <col min="4621" max="4621" width="2.44140625" style="18" customWidth="1"/>
    <col min="4622" max="4622" width="8.77734375" style="18"/>
    <col min="4623" max="4624" width="12" style="18" customWidth="1"/>
    <col min="4625" max="4625" width="7.5546875" style="18" bestFit="1" customWidth="1"/>
    <col min="4626" max="4626" width="2.21875" style="18" customWidth="1"/>
    <col min="4627" max="4629" width="9.21875" style="18" bestFit="1" customWidth="1"/>
    <col min="4630" max="4637" width="9.21875" style="18" customWidth="1"/>
    <col min="4638" max="4638" width="10.21875" style="18" customWidth="1"/>
    <col min="4639" max="4639" width="5.77734375" style="18" customWidth="1"/>
    <col min="4640" max="4640" width="8.21875" style="18" customWidth="1"/>
    <col min="4641" max="4641" width="9.77734375" style="18" customWidth="1"/>
    <col min="4642" max="4642" width="8.21875" style="18" customWidth="1"/>
    <col min="4643" max="4643" width="6.77734375" style="18" customWidth="1"/>
    <col min="4644" max="4644" width="7.77734375" style="18" customWidth="1"/>
    <col min="4645" max="4651" width="9.21875" style="18" customWidth="1"/>
    <col min="4652" max="4861" width="8.77734375" style="18"/>
    <col min="4862" max="4863" width="8.77734375" style="18" customWidth="1"/>
    <col min="4864" max="4865" width="0.77734375" style="18" customWidth="1"/>
    <col min="4866" max="4866" width="3.77734375" style="18" customWidth="1"/>
    <col min="4867" max="4867" width="12.21875" style="18" bestFit="1" customWidth="1"/>
    <col min="4868" max="4868" width="12" style="18" bestFit="1" customWidth="1"/>
    <col min="4869" max="4869" width="30.21875" style="18" customWidth="1"/>
    <col min="4870" max="4870" width="5.44140625" style="18" customWidth="1"/>
    <col min="4871" max="4871" width="2.44140625" style="18" customWidth="1"/>
    <col min="4872" max="4872" width="8.77734375" style="18"/>
    <col min="4873" max="4873" width="12" style="18" customWidth="1"/>
    <col min="4874" max="4874" width="12" style="18" bestFit="1" customWidth="1"/>
    <col min="4875" max="4875" width="7.5546875" style="18" bestFit="1" customWidth="1"/>
    <col min="4876" max="4876" width="1.77734375" style="18" customWidth="1"/>
    <col min="4877" max="4877" width="2.44140625" style="18" customWidth="1"/>
    <col min="4878" max="4878" width="8.77734375" style="18"/>
    <col min="4879" max="4880" width="12" style="18" customWidth="1"/>
    <col min="4881" max="4881" width="7.5546875" style="18" bestFit="1" customWidth="1"/>
    <col min="4882" max="4882" width="2.21875" style="18" customWidth="1"/>
    <col min="4883" max="4885" width="9.21875" style="18" bestFit="1" customWidth="1"/>
    <col min="4886" max="4893" width="9.21875" style="18" customWidth="1"/>
    <col min="4894" max="4894" width="10.21875" style="18" customWidth="1"/>
    <col min="4895" max="4895" width="5.77734375" style="18" customWidth="1"/>
    <col min="4896" max="4896" width="8.21875" style="18" customWidth="1"/>
    <col min="4897" max="4897" width="9.77734375" style="18" customWidth="1"/>
    <col min="4898" max="4898" width="8.21875" style="18" customWidth="1"/>
    <col min="4899" max="4899" width="6.77734375" style="18" customWidth="1"/>
    <col min="4900" max="4900" width="7.77734375" style="18" customWidth="1"/>
    <col min="4901" max="4907" width="9.21875" style="18" customWidth="1"/>
    <col min="4908" max="5117" width="8.77734375" style="18"/>
    <col min="5118" max="5119" width="8.77734375" style="18" customWidth="1"/>
    <col min="5120" max="5121" width="0.77734375" style="18" customWidth="1"/>
    <col min="5122" max="5122" width="3.77734375" style="18" customWidth="1"/>
    <col min="5123" max="5123" width="12.21875" style="18" bestFit="1" customWidth="1"/>
    <col min="5124" max="5124" width="12" style="18" bestFit="1" customWidth="1"/>
    <col min="5125" max="5125" width="30.21875" style="18" customWidth="1"/>
    <col min="5126" max="5126" width="5.44140625" style="18" customWidth="1"/>
    <col min="5127" max="5127" width="2.44140625" style="18" customWidth="1"/>
    <col min="5128" max="5128" width="8.77734375" style="18"/>
    <col min="5129" max="5129" width="12" style="18" customWidth="1"/>
    <col min="5130" max="5130" width="12" style="18" bestFit="1" customWidth="1"/>
    <col min="5131" max="5131" width="7.5546875" style="18" bestFit="1" customWidth="1"/>
    <col min="5132" max="5132" width="1.77734375" style="18" customWidth="1"/>
    <col min="5133" max="5133" width="2.44140625" style="18" customWidth="1"/>
    <col min="5134" max="5134" width="8.77734375" style="18"/>
    <col min="5135" max="5136" width="12" style="18" customWidth="1"/>
    <col min="5137" max="5137" width="7.5546875" style="18" bestFit="1" customWidth="1"/>
    <col min="5138" max="5138" width="2.21875" style="18" customWidth="1"/>
    <col min="5139" max="5141" width="9.21875" style="18" bestFit="1" customWidth="1"/>
    <col min="5142" max="5149" width="9.21875" style="18" customWidth="1"/>
    <col min="5150" max="5150" width="10.21875" style="18" customWidth="1"/>
    <col min="5151" max="5151" width="5.77734375" style="18" customWidth="1"/>
    <col min="5152" max="5152" width="8.21875" style="18" customWidth="1"/>
    <col min="5153" max="5153" width="9.77734375" style="18" customWidth="1"/>
    <col min="5154" max="5154" width="8.21875" style="18" customWidth="1"/>
    <col min="5155" max="5155" width="6.77734375" style="18" customWidth="1"/>
    <col min="5156" max="5156" width="7.77734375" style="18" customWidth="1"/>
    <col min="5157" max="5163" width="9.21875" style="18" customWidth="1"/>
    <col min="5164" max="5373" width="8.77734375" style="18"/>
    <col min="5374" max="5375" width="8.77734375" style="18" customWidth="1"/>
    <col min="5376" max="5377" width="0.77734375" style="18" customWidth="1"/>
    <col min="5378" max="5378" width="3.77734375" style="18" customWidth="1"/>
    <col min="5379" max="5379" width="12.21875" style="18" bestFit="1" customWidth="1"/>
    <col min="5380" max="5380" width="12" style="18" bestFit="1" customWidth="1"/>
    <col min="5381" max="5381" width="30.21875" style="18" customWidth="1"/>
    <col min="5382" max="5382" width="5.44140625" style="18" customWidth="1"/>
    <col min="5383" max="5383" width="2.44140625" style="18" customWidth="1"/>
    <col min="5384" max="5384" width="8.77734375" style="18"/>
    <col min="5385" max="5385" width="12" style="18" customWidth="1"/>
    <col min="5386" max="5386" width="12" style="18" bestFit="1" customWidth="1"/>
    <col min="5387" max="5387" width="7.5546875" style="18" bestFit="1" customWidth="1"/>
    <col min="5388" max="5388" width="1.77734375" style="18" customWidth="1"/>
    <col min="5389" max="5389" width="2.44140625" style="18" customWidth="1"/>
    <col min="5390" max="5390" width="8.77734375" style="18"/>
    <col min="5391" max="5392" width="12" style="18" customWidth="1"/>
    <col min="5393" max="5393" width="7.5546875" style="18" bestFit="1" customWidth="1"/>
    <col min="5394" max="5394" width="2.21875" style="18" customWidth="1"/>
    <col min="5395" max="5397" width="9.21875" style="18" bestFit="1" customWidth="1"/>
    <col min="5398" max="5405" width="9.21875" style="18" customWidth="1"/>
    <col min="5406" max="5406" width="10.21875" style="18" customWidth="1"/>
    <col min="5407" max="5407" width="5.77734375" style="18" customWidth="1"/>
    <col min="5408" max="5408" width="8.21875" style="18" customWidth="1"/>
    <col min="5409" max="5409" width="9.77734375" style="18" customWidth="1"/>
    <col min="5410" max="5410" width="8.21875" style="18" customWidth="1"/>
    <col min="5411" max="5411" width="6.77734375" style="18" customWidth="1"/>
    <col min="5412" max="5412" width="7.77734375" style="18" customWidth="1"/>
    <col min="5413" max="5419" width="9.21875" style="18" customWidth="1"/>
    <col min="5420" max="5629" width="8.77734375" style="18"/>
    <col min="5630" max="5631" width="8.77734375" style="18" customWidth="1"/>
    <col min="5632" max="5633" width="0.77734375" style="18" customWidth="1"/>
    <col min="5634" max="5634" width="3.77734375" style="18" customWidth="1"/>
    <col min="5635" max="5635" width="12.21875" style="18" bestFit="1" customWidth="1"/>
    <col min="5636" max="5636" width="12" style="18" bestFit="1" customWidth="1"/>
    <col min="5637" max="5637" width="30.21875" style="18" customWidth="1"/>
    <col min="5638" max="5638" width="5.44140625" style="18" customWidth="1"/>
    <col min="5639" max="5639" width="2.44140625" style="18" customWidth="1"/>
    <col min="5640" max="5640" width="8.77734375" style="18"/>
    <col min="5641" max="5641" width="12" style="18" customWidth="1"/>
    <col min="5642" max="5642" width="12" style="18" bestFit="1" customWidth="1"/>
    <col min="5643" max="5643" width="7.5546875" style="18" bestFit="1" customWidth="1"/>
    <col min="5644" max="5644" width="1.77734375" style="18" customWidth="1"/>
    <col min="5645" max="5645" width="2.44140625" style="18" customWidth="1"/>
    <col min="5646" max="5646" width="8.77734375" style="18"/>
    <col min="5647" max="5648" width="12" style="18" customWidth="1"/>
    <col min="5649" max="5649" width="7.5546875" style="18" bestFit="1" customWidth="1"/>
    <col min="5650" max="5650" width="2.21875" style="18" customWidth="1"/>
    <col min="5651" max="5653" width="9.21875" style="18" bestFit="1" customWidth="1"/>
    <col min="5654" max="5661" width="9.21875" style="18" customWidth="1"/>
    <col min="5662" max="5662" width="10.21875" style="18" customWidth="1"/>
    <col min="5663" max="5663" width="5.77734375" style="18" customWidth="1"/>
    <col min="5664" max="5664" width="8.21875" style="18" customWidth="1"/>
    <col min="5665" max="5665" width="9.77734375" style="18" customWidth="1"/>
    <col min="5666" max="5666" width="8.21875" style="18" customWidth="1"/>
    <col min="5667" max="5667" width="6.77734375" style="18" customWidth="1"/>
    <col min="5668" max="5668" width="7.77734375" style="18" customWidth="1"/>
    <col min="5669" max="5675" width="9.21875" style="18" customWidth="1"/>
    <col min="5676" max="5885" width="8.77734375" style="18"/>
    <col min="5886" max="5887" width="8.77734375" style="18" customWidth="1"/>
    <col min="5888" max="5889" width="0.77734375" style="18" customWidth="1"/>
    <col min="5890" max="5890" width="3.77734375" style="18" customWidth="1"/>
    <col min="5891" max="5891" width="12.21875" style="18" bestFit="1" customWidth="1"/>
    <col min="5892" max="5892" width="12" style="18" bestFit="1" customWidth="1"/>
    <col min="5893" max="5893" width="30.21875" style="18" customWidth="1"/>
    <col min="5894" max="5894" width="5.44140625" style="18" customWidth="1"/>
    <col min="5895" max="5895" width="2.44140625" style="18" customWidth="1"/>
    <col min="5896" max="5896" width="8.77734375" style="18"/>
    <col min="5897" max="5897" width="12" style="18" customWidth="1"/>
    <col min="5898" max="5898" width="12" style="18" bestFit="1" customWidth="1"/>
    <col min="5899" max="5899" width="7.5546875" style="18" bestFit="1" customWidth="1"/>
    <col min="5900" max="5900" width="1.77734375" style="18" customWidth="1"/>
    <col min="5901" max="5901" width="2.44140625" style="18" customWidth="1"/>
    <col min="5902" max="5902" width="8.77734375" style="18"/>
    <col min="5903" max="5904" width="12" style="18" customWidth="1"/>
    <col min="5905" max="5905" width="7.5546875" style="18" bestFit="1" customWidth="1"/>
    <col min="5906" max="5906" width="2.21875" style="18" customWidth="1"/>
    <col min="5907" max="5909" width="9.21875" style="18" bestFit="1" customWidth="1"/>
    <col min="5910" max="5917" width="9.21875" style="18" customWidth="1"/>
    <col min="5918" max="5918" width="10.21875" style="18" customWidth="1"/>
    <col min="5919" max="5919" width="5.77734375" style="18" customWidth="1"/>
    <col min="5920" max="5920" width="8.21875" style="18" customWidth="1"/>
    <col min="5921" max="5921" width="9.77734375" style="18" customWidth="1"/>
    <col min="5922" max="5922" width="8.21875" style="18" customWidth="1"/>
    <col min="5923" max="5923" width="6.77734375" style="18" customWidth="1"/>
    <col min="5924" max="5924" width="7.77734375" style="18" customWidth="1"/>
    <col min="5925" max="5931" width="9.21875" style="18" customWidth="1"/>
    <col min="5932" max="6141" width="8.77734375" style="18"/>
    <col min="6142" max="6143" width="8.77734375" style="18" customWidth="1"/>
    <col min="6144" max="6145" width="0.77734375" style="18" customWidth="1"/>
    <col min="6146" max="6146" width="3.77734375" style="18" customWidth="1"/>
    <col min="6147" max="6147" width="12.21875" style="18" bestFit="1" customWidth="1"/>
    <col min="6148" max="6148" width="12" style="18" bestFit="1" customWidth="1"/>
    <col min="6149" max="6149" width="30.21875" style="18" customWidth="1"/>
    <col min="6150" max="6150" width="5.44140625" style="18" customWidth="1"/>
    <col min="6151" max="6151" width="2.44140625" style="18" customWidth="1"/>
    <col min="6152" max="6152" width="8.77734375" style="18"/>
    <col min="6153" max="6153" width="12" style="18" customWidth="1"/>
    <col min="6154" max="6154" width="12" style="18" bestFit="1" customWidth="1"/>
    <col min="6155" max="6155" width="7.5546875" style="18" bestFit="1" customWidth="1"/>
    <col min="6156" max="6156" width="1.77734375" style="18" customWidth="1"/>
    <col min="6157" max="6157" width="2.44140625" style="18" customWidth="1"/>
    <col min="6158" max="6158" width="8.77734375" style="18"/>
    <col min="6159" max="6160" width="12" style="18" customWidth="1"/>
    <col min="6161" max="6161" width="7.5546875" style="18" bestFit="1" customWidth="1"/>
    <col min="6162" max="6162" width="2.21875" style="18" customWidth="1"/>
    <col min="6163" max="6165" width="9.21875" style="18" bestFit="1" customWidth="1"/>
    <col min="6166" max="6173" width="9.21875" style="18" customWidth="1"/>
    <col min="6174" max="6174" width="10.21875" style="18" customWidth="1"/>
    <col min="6175" max="6175" width="5.77734375" style="18" customWidth="1"/>
    <col min="6176" max="6176" width="8.21875" style="18" customWidth="1"/>
    <col min="6177" max="6177" width="9.77734375" style="18" customWidth="1"/>
    <col min="6178" max="6178" width="8.21875" style="18" customWidth="1"/>
    <col min="6179" max="6179" width="6.77734375" style="18" customWidth="1"/>
    <col min="6180" max="6180" width="7.77734375" style="18" customWidth="1"/>
    <col min="6181" max="6187" width="9.21875" style="18" customWidth="1"/>
    <col min="6188" max="6397" width="8.77734375" style="18"/>
    <col min="6398" max="6399" width="8.77734375" style="18" customWidth="1"/>
    <col min="6400" max="6401" width="0.77734375" style="18" customWidth="1"/>
    <col min="6402" max="6402" width="3.77734375" style="18" customWidth="1"/>
    <col min="6403" max="6403" width="12.21875" style="18" bestFit="1" customWidth="1"/>
    <col min="6404" max="6404" width="12" style="18" bestFit="1" customWidth="1"/>
    <col min="6405" max="6405" width="30.21875" style="18" customWidth="1"/>
    <col min="6406" max="6406" width="5.44140625" style="18" customWidth="1"/>
    <col min="6407" max="6407" width="2.44140625" style="18" customWidth="1"/>
    <col min="6408" max="6408" width="8.77734375" style="18"/>
    <col min="6409" max="6409" width="12" style="18" customWidth="1"/>
    <col min="6410" max="6410" width="12" style="18" bestFit="1" customWidth="1"/>
    <col min="6411" max="6411" width="7.5546875" style="18" bestFit="1" customWidth="1"/>
    <col min="6412" max="6412" width="1.77734375" style="18" customWidth="1"/>
    <col min="6413" max="6413" width="2.44140625" style="18" customWidth="1"/>
    <col min="6414" max="6414" width="8.77734375" style="18"/>
    <col min="6415" max="6416" width="12" style="18" customWidth="1"/>
    <col min="6417" max="6417" width="7.5546875" style="18" bestFit="1" customWidth="1"/>
    <col min="6418" max="6418" width="2.21875" style="18" customWidth="1"/>
    <col min="6419" max="6421" width="9.21875" style="18" bestFit="1" customWidth="1"/>
    <col min="6422" max="6429" width="9.21875" style="18" customWidth="1"/>
    <col min="6430" max="6430" width="10.21875" style="18" customWidth="1"/>
    <col min="6431" max="6431" width="5.77734375" style="18" customWidth="1"/>
    <col min="6432" max="6432" width="8.21875" style="18" customWidth="1"/>
    <col min="6433" max="6433" width="9.77734375" style="18" customWidth="1"/>
    <col min="6434" max="6434" width="8.21875" style="18" customWidth="1"/>
    <col min="6435" max="6435" width="6.77734375" style="18" customWidth="1"/>
    <col min="6436" max="6436" width="7.77734375" style="18" customWidth="1"/>
    <col min="6437" max="6443" width="9.21875" style="18" customWidth="1"/>
    <col min="6444" max="6653" width="8.77734375" style="18"/>
    <col min="6654" max="6655" width="8.77734375" style="18" customWidth="1"/>
    <col min="6656" max="6657" width="0.77734375" style="18" customWidth="1"/>
    <col min="6658" max="6658" width="3.77734375" style="18" customWidth="1"/>
    <col min="6659" max="6659" width="12.21875" style="18" bestFit="1" customWidth="1"/>
    <col min="6660" max="6660" width="12" style="18" bestFit="1" customWidth="1"/>
    <col min="6661" max="6661" width="30.21875" style="18" customWidth="1"/>
    <col min="6662" max="6662" width="5.44140625" style="18" customWidth="1"/>
    <col min="6663" max="6663" width="2.44140625" style="18" customWidth="1"/>
    <col min="6664" max="6664" width="8.77734375" style="18"/>
    <col min="6665" max="6665" width="12" style="18" customWidth="1"/>
    <col min="6666" max="6666" width="12" style="18" bestFit="1" customWidth="1"/>
    <col min="6667" max="6667" width="7.5546875" style="18" bestFit="1" customWidth="1"/>
    <col min="6668" max="6668" width="1.77734375" style="18" customWidth="1"/>
    <col min="6669" max="6669" width="2.44140625" style="18" customWidth="1"/>
    <col min="6670" max="6670" width="8.77734375" style="18"/>
    <col min="6671" max="6672" width="12" style="18" customWidth="1"/>
    <col min="6673" max="6673" width="7.5546875" style="18" bestFit="1" customWidth="1"/>
    <col min="6674" max="6674" width="2.21875" style="18" customWidth="1"/>
    <col min="6675" max="6677" width="9.21875" style="18" bestFit="1" customWidth="1"/>
    <col min="6678" max="6685" width="9.21875" style="18" customWidth="1"/>
    <col min="6686" max="6686" width="10.21875" style="18" customWidth="1"/>
    <col min="6687" max="6687" width="5.77734375" style="18" customWidth="1"/>
    <col min="6688" max="6688" width="8.21875" style="18" customWidth="1"/>
    <col min="6689" max="6689" width="9.77734375" style="18" customWidth="1"/>
    <col min="6690" max="6690" width="8.21875" style="18" customWidth="1"/>
    <col min="6691" max="6691" width="6.77734375" style="18" customWidth="1"/>
    <col min="6692" max="6692" width="7.77734375" style="18" customWidth="1"/>
    <col min="6693" max="6699" width="9.21875" style="18" customWidth="1"/>
    <col min="6700" max="6909" width="8.77734375" style="18"/>
    <col min="6910" max="6911" width="8.77734375" style="18" customWidth="1"/>
    <col min="6912" max="6913" width="0.77734375" style="18" customWidth="1"/>
    <col min="6914" max="6914" width="3.77734375" style="18" customWidth="1"/>
    <col min="6915" max="6915" width="12.21875" style="18" bestFit="1" customWidth="1"/>
    <col min="6916" max="6916" width="12" style="18" bestFit="1" customWidth="1"/>
    <col min="6917" max="6917" width="30.21875" style="18" customWidth="1"/>
    <col min="6918" max="6918" width="5.44140625" style="18" customWidth="1"/>
    <col min="6919" max="6919" width="2.44140625" style="18" customWidth="1"/>
    <col min="6920" max="6920" width="8.77734375" style="18"/>
    <col min="6921" max="6921" width="12" style="18" customWidth="1"/>
    <col min="6922" max="6922" width="12" style="18" bestFit="1" customWidth="1"/>
    <col min="6923" max="6923" width="7.5546875" style="18" bestFit="1" customWidth="1"/>
    <col min="6924" max="6924" width="1.77734375" style="18" customWidth="1"/>
    <col min="6925" max="6925" width="2.44140625" style="18" customWidth="1"/>
    <col min="6926" max="6926" width="8.77734375" style="18"/>
    <col min="6927" max="6928" width="12" style="18" customWidth="1"/>
    <col min="6929" max="6929" width="7.5546875" style="18" bestFit="1" customWidth="1"/>
    <col min="6930" max="6930" width="2.21875" style="18" customWidth="1"/>
    <col min="6931" max="6933" width="9.21875" style="18" bestFit="1" customWidth="1"/>
    <col min="6934" max="6941" width="9.21875" style="18" customWidth="1"/>
    <col min="6942" max="6942" width="10.21875" style="18" customWidth="1"/>
    <col min="6943" max="6943" width="5.77734375" style="18" customWidth="1"/>
    <col min="6944" max="6944" width="8.21875" style="18" customWidth="1"/>
    <col min="6945" max="6945" width="9.77734375" style="18" customWidth="1"/>
    <col min="6946" max="6946" width="8.21875" style="18" customWidth="1"/>
    <col min="6947" max="6947" width="6.77734375" style="18" customWidth="1"/>
    <col min="6948" max="6948" width="7.77734375" style="18" customWidth="1"/>
    <col min="6949" max="6955" width="9.21875" style="18" customWidth="1"/>
    <col min="6956" max="7165" width="8.77734375" style="18"/>
    <col min="7166" max="7167" width="8.77734375" style="18" customWidth="1"/>
    <col min="7168" max="7169" width="0.77734375" style="18" customWidth="1"/>
    <col min="7170" max="7170" width="3.77734375" style="18" customWidth="1"/>
    <col min="7171" max="7171" width="12.21875" style="18" bestFit="1" customWidth="1"/>
    <col min="7172" max="7172" width="12" style="18" bestFit="1" customWidth="1"/>
    <col min="7173" max="7173" width="30.21875" style="18" customWidth="1"/>
    <col min="7174" max="7174" width="5.44140625" style="18" customWidth="1"/>
    <col min="7175" max="7175" width="2.44140625" style="18" customWidth="1"/>
    <col min="7176" max="7176" width="8.77734375" style="18"/>
    <col min="7177" max="7177" width="12" style="18" customWidth="1"/>
    <col min="7178" max="7178" width="12" style="18" bestFit="1" customWidth="1"/>
    <col min="7179" max="7179" width="7.5546875" style="18" bestFit="1" customWidth="1"/>
    <col min="7180" max="7180" width="1.77734375" style="18" customWidth="1"/>
    <col min="7181" max="7181" width="2.44140625" style="18" customWidth="1"/>
    <col min="7182" max="7182" width="8.77734375" style="18"/>
    <col min="7183" max="7184" width="12" style="18" customWidth="1"/>
    <col min="7185" max="7185" width="7.5546875" style="18" bestFit="1" customWidth="1"/>
    <col min="7186" max="7186" width="2.21875" style="18" customWidth="1"/>
    <col min="7187" max="7189" width="9.21875" style="18" bestFit="1" customWidth="1"/>
    <col min="7190" max="7197" width="9.21875" style="18" customWidth="1"/>
    <col min="7198" max="7198" width="10.21875" style="18" customWidth="1"/>
    <col min="7199" max="7199" width="5.77734375" style="18" customWidth="1"/>
    <col min="7200" max="7200" width="8.21875" style="18" customWidth="1"/>
    <col min="7201" max="7201" width="9.77734375" style="18" customWidth="1"/>
    <col min="7202" max="7202" width="8.21875" style="18" customWidth="1"/>
    <col min="7203" max="7203" width="6.77734375" style="18" customWidth="1"/>
    <col min="7204" max="7204" width="7.77734375" style="18" customWidth="1"/>
    <col min="7205" max="7211" width="9.21875" style="18" customWidth="1"/>
    <col min="7212" max="7421" width="8.77734375" style="18"/>
    <col min="7422" max="7423" width="8.77734375" style="18" customWidth="1"/>
    <col min="7424" max="7425" width="0.77734375" style="18" customWidth="1"/>
    <col min="7426" max="7426" width="3.77734375" style="18" customWidth="1"/>
    <col min="7427" max="7427" width="12.21875" style="18" bestFit="1" customWidth="1"/>
    <col min="7428" max="7428" width="12" style="18" bestFit="1" customWidth="1"/>
    <col min="7429" max="7429" width="30.21875" style="18" customWidth="1"/>
    <col min="7430" max="7430" width="5.44140625" style="18" customWidth="1"/>
    <col min="7431" max="7431" width="2.44140625" style="18" customWidth="1"/>
    <col min="7432" max="7432" width="8.77734375" style="18"/>
    <col min="7433" max="7433" width="12" style="18" customWidth="1"/>
    <col min="7434" max="7434" width="12" style="18" bestFit="1" customWidth="1"/>
    <col min="7435" max="7435" width="7.5546875" style="18" bestFit="1" customWidth="1"/>
    <col min="7436" max="7436" width="1.77734375" style="18" customWidth="1"/>
    <col min="7437" max="7437" width="2.44140625" style="18" customWidth="1"/>
    <col min="7438" max="7438" width="8.77734375" style="18"/>
    <col min="7439" max="7440" width="12" style="18" customWidth="1"/>
    <col min="7441" max="7441" width="7.5546875" style="18" bestFit="1" customWidth="1"/>
    <col min="7442" max="7442" width="2.21875" style="18" customWidth="1"/>
    <col min="7443" max="7445" width="9.21875" style="18" bestFit="1" customWidth="1"/>
    <col min="7446" max="7453" width="9.21875" style="18" customWidth="1"/>
    <col min="7454" max="7454" width="10.21875" style="18" customWidth="1"/>
    <col min="7455" max="7455" width="5.77734375" style="18" customWidth="1"/>
    <col min="7456" max="7456" width="8.21875" style="18" customWidth="1"/>
    <col min="7457" max="7457" width="9.77734375" style="18" customWidth="1"/>
    <col min="7458" max="7458" width="8.21875" style="18" customWidth="1"/>
    <col min="7459" max="7459" width="6.77734375" style="18" customWidth="1"/>
    <col min="7460" max="7460" width="7.77734375" style="18" customWidth="1"/>
    <col min="7461" max="7467" width="9.21875" style="18" customWidth="1"/>
    <col min="7468" max="7677" width="8.77734375" style="18"/>
    <col min="7678" max="7679" width="8.77734375" style="18" customWidth="1"/>
    <col min="7680" max="7681" width="0.77734375" style="18" customWidth="1"/>
    <col min="7682" max="7682" width="3.77734375" style="18" customWidth="1"/>
    <col min="7683" max="7683" width="12.21875" style="18" bestFit="1" customWidth="1"/>
    <col min="7684" max="7684" width="12" style="18" bestFit="1" customWidth="1"/>
    <col min="7685" max="7685" width="30.21875" style="18" customWidth="1"/>
    <col min="7686" max="7686" width="5.44140625" style="18" customWidth="1"/>
    <col min="7687" max="7687" width="2.44140625" style="18" customWidth="1"/>
    <col min="7688" max="7688" width="8.77734375" style="18"/>
    <col min="7689" max="7689" width="12" style="18" customWidth="1"/>
    <col min="7690" max="7690" width="12" style="18" bestFit="1" customWidth="1"/>
    <col min="7691" max="7691" width="7.5546875" style="18" bestFit="1" customWidth="1"/>
    <col min="7692" max="7692" width="1.77734375" style="18" customWidth="1"/>
    <col min="7693" max="7693" width="2.44140625" style="18" customWidth="1"/>
    <col min="7694" max="7694" width="8.77734375" style="18"/>
    <col min="7695" max="7696" width="12" style="18" customWidth="1"/>
    <col min="7697" max="7697" width="7.5546875" style="18" bestFit="1" customWidth="1"/>
    <col min="7698" max="7698" width="2.21875" style="18" customWidth="1"/>
    <col min="7699" max="7701" width="9.21875" style="18" bestFit="1" customWidth="1"/>
    <col min="7702" max="7709" width="9.21875" style="18" customWidth="1"/>
    <col min="7710" max="7710" width="10.21875" style="18" customWidth="1"/>
    <col min="7711" max="7711" width="5.77734375" style="18" customWidth="1"/>
    <col min="7712" max="7712" width="8.21875" style="18" customWidth="1"/>
    <col min="7713" max="7713" width="9.77734375" style="18" customWidth="1"/>
    <col min="7714" max="7714" width="8.21875" style="18" customWidth="1"/>
    <col min="7715" max="7715" width="6.77734375" style="18" customWidth="1"/>
    <col min="7716" max="7716" width="7.77734375" style="18" customWidth="1"/>
    <col min="7717" max="7723" width="9.21875" style="18" customWidth="1"/>
    <col min="7724" max="7933" width="8.77734375" style="18"/>
    <col min="7934" max="7935" width="8.77734375" style="18" customWidth="1"/>
    <col min="7936" max="7937" width="0.77734375" style="18" customWidth="1"/>
    <col min="7938" max="7938" width="3.77734375" style="18" customWidth="1"/>
    <col min="7939" max="7939" width="12.21875" style="18" bestFit="1" customWidth="1"/>
    <col min="7940" max="7940" width="12" style="18" bestFit="1" customWidth="1"/>
    <col min="7941" max="7941" width="30.21875" style="18" customWidth="1"/>
    <col min="7942" max="7942" width="5.44140625" style="18" customWidth="1"/>
    <col min="7943" max="7943" width="2.44140625" style="18" customWidth="1"/>
    <col min="7944" max="7944" width="8.77734375" style="18"/>
    <col min="7945" max="7945" width="12" style="18" customWidth="1"/>
    <col min="7946" max="7946" width="12" style="18" bestFit="1" customWidth="1"/>
    <col min="7947" max="7947" width="7.5546875" style="18" bestFit="1" customWidth="1"/>
    <col min="7948" max="7948" width="1.77734375" style="18" customWidth="1"/>
    <col min="7949" max="7949" width="2.44140625" style="18" customWidth="1"/>
    <col min="7950" max="7950" width="8.77734375" style="18"/>
    <col min="7951" max="7952" width="12" style="18" customWidth="1"/>
    <col min="7953" max="7953" width="7.5546875" style="18" bestFit="1" customWidth="1"/>
    <col min="7954" max="7954" width="2.21875" style="18" customWidth="1"/>
    <col min="7955" max="7957" width="9.21875" style="18" bestFit="1" customWidth="1"/>
    <col min="7958" max="7965" width="9.21875" style="18" customWidth="1"/>
    <col min="7966" max="7966" width="10.21875" style="18" customWidth="1"/>
    <col min="7967" max="7967" width="5.77734375" style="18" customWidth="1"/>
    <col min="7968" max="7968" width="8.21875" style="18" customWidth="1"/>
    <col min="7969" max="7969" width="9.77734375" style="18" customWidth="1"/>
    <col min="7970" max="7970" width="8.21875" style="18" customWidth="1"/>
    <col min="7971" max="7971" width="6.77734375" style="18" customWidth="1"/>
    <col min="7972" max="7972" width="7.77734375" style="18" customWidth="1"/>
    <col min="7973" max="7979" width="9.21875" style="18" customWidth="1"/>
    <col min="7980" max="8189" width="8.77734375" style="18"/>
    <col min="8190" max="8191" width="8.77734375" style="18" customWidth="1"/>
    <col min="8192" max="8193" width="0.77734375" style="18" customWidth="1"/>
    <col min="8194" max="8194" width="3.77734375" style="18" customWidth="1"/>
    <col min="8195" max="8195" width="12.21875" style="18" bestFit="1" customWidth="1"/>
    <col min="8196" max="8196" width="12" style="18" bestFit="1" customWidth="1"/>
    <col min="8197" max="8197" width="30.21875" style="18" customWidth="1"/>
    <col min="8198" max="8198" width="5.44140625" style="18" customWidth="1"/>
    <col min="8199" max="8199" width="2.44140625" style="18" customWidth="1"/>
    <col min="8200" max="8200" width="8.77734375" style="18"/>
    <col min="8201" max="8201" width="12" style="18" customWidth="1"/>
    <col min="8202" max="8202" width="12" style="18" bestFit="1" customWidth="1"/>
    <col min="8203" max="8203" width="7.5546875" style="18" bestFit="1" customWidth="1"/>
    <col min="8204" max="8204" width="1.77734375" style="18" customWidth="1"/>
    <col min="8205" max="8205" width="2.44140625" style="18" customWidth="1"/>
    <col min="8206" max="8206" width="8.77734375" style="18"/>
    <col min="8207" max="8208" width="12" style="18" customWidth="1"/>
    <col min="8209" max="8209" width="7.5546875" style="18" bestFit="1" customWidth="1"/>
    <col min="8210" max="8210" width="2.21875" style="18" customWidth="1"/>
    <col min="8211" max="8213" width="9.21875" style="18" bestFit="1" customWidth="1"/>
    <col min="8214" max="8221" width="9.21875" style="18" customWidth="1"/>
    <col min="8222" max="8222" width="10.21875" style="18" customWidth="1"/>
    <col min="8223" max="8223" width="5.77734375" style="18" customWidth="1"/>
    <col min="8224" max="8224" width="8.21875" style="18" customWidth="1"/>
    <col min="8225" max="8225" width="9.77734375" style="18" customWidth="1"/>
    <col min="8226" max="8226" width="8.21875" style="18" customWidth="1"/>
    <col min="8227" max="8227" width="6.77734375" style="18" customWidth="1"/>
    <col min="8228" max="8228" width="7.77734375" style="18" customWidth="1"/>
    <col min="8229" max="8235" width="9.21875" style="18" customWidth="1"/>
    <col min="8236" max="8445" width="8.77734375" style="18"/>
    <col min="8446" max="8447" width="8.77734375" style="18" customWidth="1"/>
    <col min="8448" max="8449" width="0.77734375" style="18" customWidth="1"/>
    <col min="8450" max="8450" width="3.77734375" style="18" customWidth="1"/>
    <col min="8451" max="8451" width="12.21875" style="18" bestFit="1" customWidth="1"/>
    <col min="8452" max="8452" width="12" style="18" bestFit="1" customWidth="1"/>
    <col min="8453" max="8453" width="30.21875" style="18" customWidth="1"/>
    <col min="8454" max="8454" width="5.44140625" style="18" customWidth="1"/>
    <col min="8455" max="8455" width="2.44140625" style="18" customWidth="1"/>
    <col min="8456" max="8456" width="8.77734375" style="18"/>
    <col min="8457" max="8457" width="12" style="18" customWidth="1"/>
    <col min="8458" max="8458" width="12" style="18" bestFit="1" customWidth="1"/>
    <col min="8459" max="8459" width="7.5546875" style="18" bestFit="1" customWidth="1"/>
    <col min="8460" max="8460" width="1.77734375" style="18" customWidth="1"/>
    <col min="8461" max="8461" width="2.44140625" style="18" customWidth="1"/>
    <col min="8462" max="8462" width="8.77734375" style="18"/>
    <col min="8463" max="8464" width="12" style="18" customWidth="1"/>
    <col min="8465" max="8465" width="7.5546875" style="18" bestFit="1" customWidth="1"/>
    <col min="8466" max="8466" width="2.21875" style="18" customWidth="1"/>
    <col min="8467" max="8469" width="9.21875" style="18" bestFit="1" customWidth="1"/>
    <col min="8470" max="8477" width="9.21875" style="18" customWidth="1"/>
    <col min="8478" max="8478" width="10.21875" style="18" customWidth="1"/>
    <col min="8479" max="8479" width="5.77734375" style="18" customWidth="1"/>
    <col min="8480" max="8480" width="8.21875" style="18" customWidth="1"/>
    <col min="8481" max="8481" width="9.77734375" style="18" customWidth="1"/>
    <col min="8482" max="8482" width="8.21875" style="18" customWidth="1"/>
    <col min="8483" max="8483" width="6.77734375" style="18" customWidth="1"/>
    <col min="8484" max="8484" width="7.77734375" style="18" customWidth="1"/>
    <col min="8485" max="8491" width="9.21875" style="18" customWidth="1"/>
    <col min="8492" max="8701" width="8.77734375" style="18"/>
    <col min="8702" max="8703" width="8.77734375" style="18" customWidth="1"/>
    <col min="8704" max="8705" width="0.77734375" style="18" customWidth="1"/>
    <col min="8706" max="8706" width="3.77734375" style="18" customWidth="1"/>
    <col min="8707" max="8707" width="12.21875" style="18" bestFit="1" customWidth="1"/>
    <col min="8708" max="8708" width="12" style="18" bestFit="1" customWidth="1"/>
    <col min="8709" max="8709" width="30.21875" style="18" customWidth="1"/>
    <col min="8710" max="8710" width="5.44140625" style="18" customWidth="1"/>
    <col min="8711" max="8711" width="2.44140625" style="18" customWidth="1"/>
    <col min="8712" max="8712" width="8.77734375" style="18"/>
    <col min="8713" max="8713" width="12" style="18" customWidth="1"/>
    <col min="8714" max="8714" width="12" style="18" bestFit="1" customWidth="1"/>
    <col min="8715" max="8715" width="7.5546875" style="18" bestFit="1" customWidth="1"/>
    <col min="8716" max="8716" width="1.77734375" style="18" customWidth="1"/>
    <col min="8717" max="8717" width="2.44140625" style="18" customWidth="1"/>
    <col min="8718" max="8718" width="8.77734375" style="18"/>
    <col min="8719" max="8720" width="12" style="18" customWidth="1"/>
    <col min="8721" max="8721" width="7.5546875" style="18" bestFit="1" customWidth="1"/>
    <col min="8722" max="8722" width="2.21875" style="18" customWidth="1"/>
    <col min="8723" max="8725" width="9.21875" style="18" bestFit="1" customWidth="1"/>
    <col min="8726" max="8733" width="9.21875" style="18" customWidth="1"/>
    <col min="8734" max="8734" width="10.21875" style="18" customWidth="1"/>
    <col min="8735" max="8735" width="5.77734375" style="18" customWidth="1"/>
    <col min="8736" max="8736" width="8.21875" style="18" customWidth="1"/>
    <col min="8737" max="8737" width="9.77734375" style="18" customWidth="1"/>
    <col min="8738" max="8738" width="8.21875" style="18" customWidth="1"/>
    <col min="8739" max="8739" width="6.77734375" style="18" customWidth="1"/>
    <col min="8740" max="8740" width="7.77734375" style="18" customWidth="1"/>
    <col min="8741" max="8747" width="9.21875" style="18" customWidth="1"/>
    <col min="8748" max="8957" width="8.77734375" style="18"/>
    <col min="8958" max="8959" width="8.77734375" style="18" customWidth="1"/>
    <col min="8960" max="8961" width="0.77734375" style="18" customWidth="1"/>
    <col min="8962" max="8962" width="3.77734375" style="18" customWidth="1"/>
    <col min="8963" max="8963" width="12.21875" style="18" bestFit="1" customWidth="1"/>
    <col min="8964" max="8964" width="12" style="18" bestFit="1" customWidth="1"/>
    <col min="8965" max="8965" width="30.21875" style="18" customWidth="1"/>
    <col min="8966" max="8966" width="5.44140625" style="18" customWidth="1"/>
    <col min="8967" max="8967" width="2.44140625" style="18" customWidth="1"/>
    <col min="8968" max="8968" width="8.77734375" style="18"/>
    <col min="8969" max="8969" width="12" style="18" customWidth="1"/>
    <col min="8970" max="8970" width="12" style="18" bestFit="1" customWidth="1"/>
    <col min="8971" max="8971" width="7.5546875" style="18" bestFit="1" customWidth="1"/>
    <col min="8972" max="8972" width="1.77734375" style="18" customWidth="1"/>
    <col min="8973" max="8973" width="2.44140625" style="18" customWidth="1"/>
    <col min="8974" max="8974" width="8.77734375" style="18"/>
    <col min="8975" max="8976" width="12" style="18" customWidth="1"/>
    <col min="8977" max="8977" width="7.5546875" style="18" bestFit="1" customWidth="1"/>
    <col min="8978" max="8978" width="2.21875" style="18" customWidth="1"/>
    <col min="8979" max="8981" width="9.21875" style="18" bestFit="1" customWidth="1"/>
    <col min="8982" max="8989" width="9.21875" style="18" customWidth="1"/>
    <col min="8990" max="8990" width="10.21875" style="18" customWidth="1"/>
    <col min="8991" max="8991" width="5.77734375" style="18" customWidth="1"/>
    <col min="8992" max="8992" width="8.21875" style="18" customWidth="1"/>
    <col min="8993" max="8993" width="9.77734375" style="18" customWidth="1"/>
    <col min="8994" max="8994" width="8.21875" style="18" customWidth="1"/>
    <col min="8995" max="8995" width="6.77734375" style="18" customWidth="1"/>
    <col min="8996" max="8996" width="7.77734375" style="18" customWidth="1"/>
    <col min="8997" max="9003" width="9.21875" style="18" customWidth="1"/>
    <col min="9004" max="9213" width="8.77734375" style="18"/>
    <col min="9214" max="9215" width="8.77734375" style="18" customWidth="1"/>
    <col min="9216" max="9217" width="0.77734375" style="18" customWidth="1"/>
    <col min="9218" max="9218" width="3.77734375" style="18" customWidth="1"/>
    <col min="9219" max="9219" width="12.21875" style="18" bestFit="1" customWidth="1"/>
    <col min="9220" max="9220" width="12" style="18" bestFit="1" customWidth="1"/>
    <col min="9221" max="9221" width="30.21875" style="18" customWidth="1"/>
    <col min="9222" max="9222" width="5.44140625" style="18" customWidth="1"/>
    <col min="9223" max="9223" width="2.44140625" style="18" customWidth="1"/>
    <col min="9224" max="9224" width="8.77734375" style="18"/>
    <col min="9225" max="9225" width="12" style="18" customWidth="1"/>
    <col min="9226" max="9226" width="12" style="18" bestFit="1" customWidth="1"/>
    <col min="9227" max="9227" width="7.5546875" style="18" bestFit="1" customWidth="1"/>
    <col min="9228" max="9228" width="1.77734375" style="18" customWidth="1"/>
    <col min="9229" max="9229" width="2.44140625" style="18" customWidth="1"/>
    <col min="9230" max="9230" width="8.77734375" style="18"/>
    <col min="9231" max="9232" width="12" style="18" customWidth="1"/>
    <col min="9233" max="9233" width="7.5546875" style="18" bestFit="1" customWidth="1"/>
    <col min="9234" max="9234" width="2.21875" style="18" customWidth="1"/>
    <col min="9235" max="9237" width="9.21875" style="18" bestFit="1" customWidth="1"/>
    <col min="9238" max="9245" width="9.21875" style="18" customWidth="1"/>
    <col min="9246" max="9246" width="10.21875" style="18" customWidth="1"/>
    <col min="9247" max="9247" width="5.77734375" style="18" customWidth="1"/>
    <col min="9248" max="9248" width="8.21875" style="18" customWidth="1"/>
    <col min="9249" max="9249" width="9.77734375" style="18" customWidth="1"/>
    <col min="9250" max="9250" width="8.21875" style="18" customWidth="1"/>
    <col min="9251" max="9251" width="6.77734375" style="18" customWidth="1"/>
    <col min="9252" max="9252" width="7.77734375" style="18" customWidth="1"/>
    <col min="9253" max="9259" width="9.21875" style="18" customWidth="1"/>
    <col min="9260" max="9469" width="8.77734375" style="18"/>
    <col min="9470" max="9471" width="8.77734375" style="18" customWidth="1"/>
    <col min="9472" max="9473" width="0.77734375" style="18" customWidth="1"/>
    <col min="9474" max="9474" width="3.77734375" style="18" customWidth="1"/>
    <col min="9475" max="9475" width="12.21875" style="18" bestFit="1" customWidth="1"/>
    <col min="9476" max="9476" width="12" style="18" bestFit="1" customWidth="1"/>
    <col min="9477" max="9477" width="30.21875" style="18" customWidth="1"/>
    <col min="9478" max="9478" width="5.44140625" style="18" customWidth="1"/>
    <col min="9479" max="9479" width="2.44140625" style="18" customWidth="1"/>
    <col min="9480" max="9480" width="8.77734375" style="18"/>
    <col min="9481" max="9481" width="12" style="18" customWidth="1"/>
    <col min="9482" max="9482" width="12" style="18" bestFit="1" customWidth="1"/>
    <col min="9483" max="9483" width="7.5546875" style="18" bestFit="1" customWidth="1"/>
    <col min="9484" max="9484" width="1.77734375" style="18" customWidth="1"/>
    <col min="9485" max="9485" width="2.44140625" style="18" customWidth="1"/>
    <col min="9486" max="9486" width="8.77734375" style="18"/>
    <col min="9487" max="9488" width="12" style="18" customWidth="1"/>
    <col min="9489" max="9489" width="7.5546875" style="18" bestFit="1" customWidth="1"/>
    <col min="9490" max="9490" width="2.21875" style="18" customWidth="1"/>
    <col min="9491" max="9493" width="9.21875" style="18" bestFit="1" customWidth="1"/>
    <col min="9494" max="9501" width="9.21875" style="18" customWidth="1"/>
    <col min="9502" max="9502" width="10.21875" style="18" customWidth="1"/>
    <col min="9503" max="9503" width="5.77734375" style="18" customWidth="1"/>
    <col min="9504" max="9504" width="8.21875" style="18" customWidth="1"/>
    <col min="9505" max="9505" width="9.77734375" style="18" customWidth="1"/>
    <col min="9506" max="9506" width="8.21875" style="18" customWidth="1"/>
    <col min="9507" max="9507" width="6.77734375" style="18" customWidth="1"/>
    <col min="9508" max="9508" width="7.77734375" style="18" customWidth="1"/>
    <col min="9509" max="9515" width="9.21875" style="18" customWidth="1"/>
    <col min="9516" max="9725" width="8.77734375" style="18"/>
    <col min="9726" max="9727" width="8.77734375" style="18" customWidth="1"/>
    <col min="9728" max="9729" width="0.77734375" style="18" customWidth="1"/>
    <col min="9730" max="9730" width="3.77734375" style="18" customWidth="1"/>
    <col min="9731" max="9731" width="12.21875" style="18" bestFit="1" customWidth="1"/>
    <col min="9732" max="9732" width="12" style="18" bestFit="1" customWidth="1"/>
    <col min="9733" max="9733" width="30.21875" style="18" customWidth="1"/>
    <col min="9734" max="9734" width="5.44140625" style="18" customWidth="1"/>
    <col min="9735" max="9735" width="2.44140625" style="18" customWidth="1"/>
    <col min="9736" max="9736" width="8.77734375" style="18"/>
    <col min="9737" max="9737" width="12" style="18" customWidth="1"/>
    <col min="9738" max="9738" width="12" style="18" bestFit="1" customWidth="1"/>
    <col min="9739" max="9739" width="7.5546875" style="18" bestFit="1" customWidth="1"/>
    <col min="9740" max="9740" width="1.77734375" style="18" customWidth="1"/>
    <col min="9741" max="9741" width="2.44140625" style="18" customWidth="1"/>
    <col min="9742" max="9742" width="8.77734375" style="18"/>
    <col min="9743" max="9744" width="12" style="18" customWidth="1"/>
    <col min="9745" max="9745" width="7.5546875" style="18" bestFit="1" customWidth="1"/>
    <col min="9746" max="9746" width="2.21875" style="18" customWidth="1"/>
    <col min="9747" max="9749" width="9.21875" style="18" bestFit="1" customWidth="1"/>
    <col min="9750" max="9757" width="9.21875" style="18" customWidth="1"/>
    <col min="9758" max="9758" width="10.21875" style="18" customWidth="1"/>
    <col min="9759" max="9759" width="5.77734375" style="18" customWidth="1"/>
    <col min="9760" max="9760" width="8.21875" style="18" customWidth="1"/>
    <col min="9761" max="9761" width="9.77734375" style="18" customWidth="1"/>
    <col min="9762" max="9762" width="8.21875" style="18" customWidth="1"/>
    <col min="9763" max="9763" width="6.77734375" style="18" customWidth="1"/>
    <col min="9764" max="9764" width="7.77734375" style="18" customWidth="1"/>
    <col min="9765" max="9771" width="9.21875" style="18" customWidth="1"/>
    <col min="9772" max="9981" width="8.77734375" style="18"/>
    <col min="9982" max="9983" width="8.77734375" style="18" customWidth="1"/>
    <col min="9984" max="9985" width="0.77734375" style="18" customWidth="1"/>
    <col min="9986" max="9986" width="3.77734375" style="18" customWidth="1"/>
    <col min="9987" max="9987" width="12.21875" style="18" bestFit="1" customWidth="1"/>
    <col min="9988" max="9988" width="12" style="18" bestFit="1" customWidth="1"/>
    <col min="9989" max="9989" width="30.21875" style="18" customWidth="1"/>
    <col min="9990" max="9990" width="5.44140625" style="18" customWidth="1"/>
    <col min="9991" max="9991" width="2.44140625" style="18" customWidth="1"/>
    <col min="9992" max="9992" width="8.77734375" style="18"/>
    <col min="9993" max="9993" width="12" style="18" customWidth="1"/>
    <col min="9994" max="9994" width="12" style="18" bestFit="1" customWidth="1"/>
    <col min="9995" max="9995" width="7.5546875" style="18" bestFit="1" customWidth="1"/>
    <col min="9996" max="9996" width="1.77734375" style="18" customWidth="1"/>
    <col min="9997" max="9997" width="2.44140625" style="18" customWidth="1"/>
    <col min="9998" max="9998" width="8.77734375" style="18"/>
    <col min="9999" max="10000" width="12" style="18" customWidth="1"/>
    <col min="10001" max="10001" width="7.5546875" style="18" bestFit="1" customWidth="1"/>
    <col min="10002" max="10002" width="2.21875" style="18" customWidth="1"/>
    <col min="10003" max="10005" width="9.21875" style="18" bestFit="1" customWidth="1"/>
    <col min="10006" max="10013" width="9.21875" style="18" customWidth="1"/>
    <col min="10014" max="10014" width="10.21875" style="18" customWidth="1"/>
    <col min="10015" max="10015" width="5.77734375" style="18" customWidth="1"/>
    <col min="10016" max="10016" width="8.21875" style="18" customWidth="1"/>
    <col min="10017" max="10017" width="9.77734375" style="18" customWidth="1"/>
    <col min="10018" max="10018" width="8.21875" style="18" customWidth="1"/>
    <col min="10019" max="10019" width="6.77734375" style="18" customWidth="1"/>
    <col min="10020" max="10020" width="7.77734375" style="18" customWidth="1"/>
    <col min="10021" max="10027" width="9.21875" style="18" customWidth="1"/>
    <col min="10028" max="10237" width="8.77734375" style="18"/>
    <col min="10238" max="10239" width="8.77734375" style="18" customWidth="1"/>
    <col min="10240" max="10241" width="0.77734375" style="18" customWidth="1"/>
    <col min="10242" max="10242" width="3.77734375" style="18" customWidth="1"/>
    <col min="10243" max="10243" width="12.21875" style="18" bestFit="1" customWidth="1"/>
    <col min="10244" max="10244" width="12" style="18" bestFit="1" customWidth="1"/>
    <col min="10245" max="10245" width="30.21875" style="18" customWidth="1"/>
    <col min="10246" max="10246" width="5.44140625" style="18" customWidth="1"/>
    <col min="10247" max="10247" width="2.44140625" style="18" customWidth="1"/>
    <col min="10248" max="10248" width="8.77734375" style="18"/>
    <col min="10249" max="10249" width="12" style="18" customWidth="1"/>
    <col min="10250" max="10250" width="12" style="18" bestFit="1" customWidth="1"/>
    <col min="10251" max="10251" width="7.5546875" style="18" bestFit="1" customWidth="1"/>
    <col min="10252" max="10252" width="1.77734375" style="18" customWidth="1"/>
    <col min="10253" max="10253" width="2.44140625" style="18" customWidth="1"/>
    <col min="10254" max="10254" width="8.77734375" style="18"/>
    <col min="10255" max="10256" width="12" style="18" customWidth="1"/>
    <col min="10257" max="10257" width="7.5546875" style="18" bestFit="1" customWidth="1"/>
    <col min="10258" max="10258" width="2.21875" style="18" customWidth="1"/>
    <col min="10259" max="10261" width="9.21875" style="18" bestFit="1" customWidth="1"/>
    <col min="10262" max="10269" width="9.21875" style="18" customWidth="1"/>
    <col min="10270" max="10270" width="10.21875" style="18" customWidth="1"/>
    <col min="10271" max="10271" width="5.77734375" style="18" customWidth="1"/>
    <col min="10272" max="10272" width="8.21875" style="18" customWidth="1"/>
    <col min="10273" max="10273" width="9.77734375" style="18" customWidth="1"/>
    <col min="10274" max="10274" width="8.21875" style="18" customWidth="1"/>
    <col min="10275" max="10275" width="6.77734375" style="18" customWidth="1"/>
    <col min="10276" max="10276" width="7.77734375" style="18" customWidth="1"/>
    <col min="10277" max="10283" width="9.21875" style="18" customWidth="1"/>
    <col min="10284" max="10493" width="8.77734375" style="18"/>
    <col min="10494" max="10495" width="8.77734375" style="18" customWidth="1"/>
    <col min="10496" max="10497" width="0.77734375" style="18" customWidth="1"/>
    <col min="10498" max="10498" width="3.77734375" style="18" customWidth="1"/>
    <col min="10499" max="10499" width="12.21875" style="18" bestFit="1" customWidth="1"/>
    <col min="10500" max="10500" width="12" style="18" bestFit="1" customWidth="1"/>
    <col min="10501" max="10501" width="30.21875" style="18" customWidth="1"/>
    <col min="10502" max="10502" width="5.44140625" style="18" customWidth="1"/>
    <col min="10503" max="10503" width="2.44140625" style="18" customWidth="1"/>
    <col min="10504" max="10504" width="8.77734375" style="18"/>
    <col min="10505" max="10505" width="12" style="18" customWidth="1"/>
    <col min="10506" max="10506" width="12" style="18" bestFit="1" customWidth="1"/>
    <col min="10507" max="10507" width="7.5546875" style="18" bestFit="1" customWidth="1"/>
    <col min="10508" max="10508" width="1.77734375" style="18" customWidth="1"/>
    <col min="10509" max="10509" width="2.44140625" style="18" customWidth="1"/>
    <col min="10510" max="10510" width="8.77734375" style="18"/>
    <col min="10511" max="10512" width="12" style="18" customWidth="1"/>
    <col min="10513" max="10513" width="7.5546875" style="18" bestFit="1" customWidth="1"/>
    <col min="10514" max="10514" width="2.21875" style="18" customWidth="1"/>
    <col min="10515" max="10517" width="9.21875" style="18" bestFit="1" customWidth="1"/>
    <col min="10518" max="10525" width="9.21875" style="18" customWidth="1"/>
    <col min="10526" max="10526" width="10.21875" style="18" customWidth="1"/>
    <col min="10527" max="10527" width="5.77734375" style="18" customWidth="1"/>
    <col min="10528" max="10528" width="8.21875" style="18" customWidth="1"/>
    <col min="10529" max="10529" width="9.77734375" style="18" customWidth="1"/>
    <col min="10530" max="10530" width="8.21875" style="18" customWidth="1"/>
    <col min="10531" max="10531" width="6.77734375" style="18" customWidth="1"/>
    <col min="10532" max="10532" width="7.77734375" style="18" customWidth="1"/>
    <col min="10533" max="10539" width="9.21875" style="18" customWidth="1"/>
    <col min="10540" max="10749" width="8.77734375" style="18"/>
    <col min="10750" max="10751" width="8.77734375" style="18" customWidth="1"/>
    <col min="10752" max="10753" width="0.77734375" style="18" customWidth="1"/>
    <col min="10754" max="10754" width="3.77734375" style="18" customWidth="1"/>
    <col min="10755" max="10755" width="12.21875" style="18" bestFit="1" customWidth="1"/>
    <col min="10756" max="10756" width="12" style="18" bestFit="1" customWidth="1"/>
    <col min="10757" max="10757" width="30.21875" style="18" customWidth="1"/>
    <col min="10758" max="10758" width="5.44140625" style="18" customWidth="1"/>
    <col min="10759" max="10759" width="2.44140625" style="18" customWidth="1"/>
    <col min="10760" max="10760" width="8.77734375" style="18"/>
    <col min="10761" max="10761" width="12" style="18" customWidth="1"/>
    <col min="10762" max="10762" width="12" style="18" bestFit="1" customWidth="1"/>
    <col min="10763" max="10763" width="7.5546875" style="18" bestFit="1" customWidth="1"/>
    <col min="10764" max="10764" width="1.77734375" style="18" customWidth="1"/>
    <col min="10765" max="10765" width="2.44140625" style="18" customWidth="1"/>
    <col min="10766" max="10766" width="8.77734375" style="18"/>
    <col min="10767" max="10768" width="12" style="18" customWidth="1"/>
    <col min="10769" max="10769" width="7.5546875" style="18" bestFit="1" customWidth="1"/>
    <col min="10770" max="10770" width="2.21875" style="18" customWidth="1"/>
    <col min="10771" max="10773" width="9.21875" style="18" bestFit="1" customWidth="1"/>
    <col min="10774" max="10781" width="9.21875" style="18" customWidth="1"/>
    <col min="10782" max="10782" width="10.21875" style="18" customWidth="1"/>
    <col min="10783" max="10783" width="5.77734375" style="18" customWidth="1"/>
    <col min="10784" max="10784" width="8.21875" style="18" customWidth="1"/>
    <col min="10785" max="10785" width="9.77734375" style="18" customWidth="1"/>
    <col min="10786" max="10786" width="8.21875" style="18" customWidth="1"/>
    <col min="10787" max="10787" width="6.77734375" style="18" customWidth="1"/>
    <col min="10788" max="10788" width="7.77734375" style="18" customWidth="1"/>
    <col min="10789" max="10795" width="9.21875" style="18" customWidth="1"/>
    <col min="10796" max="11005" width="8.77734375" style="18"/>
    <col min="11006" max="11007" width="8.77734375" style="18" customWidth="1"/>
    <col min="11008" max="11009" width="0.77734375" style="18" customWidth="1"/>
    <col min="11010" max="11010" width="3.77734375" style="18" customWidth="1"/>
    <col min="11011" max="11011" width="12.21875" style="18" bestFit="1" customWidth="1"/>
    <col min="11012" max="11012" width="12" style="18" bestFit="1" customWidth="1"/>
    <col min="11013" max="11013" width="30.21875" style="18" customWidth="1"/>
    <col min="11014" max="11014" width="5.44140625" style="18" customWidth="1"/>
    <col min="11015" max="11015" width="2.44140625" style="18" customWidth="1"/>
    <col min="11016" max="11016" width="8.77734375" style="18"/>
    <col min="11017" max="11017" width="12" style="18" customWidth="1"/>
    <col min="11018" max="11018" width="12" style="18" bestFit="1" customWidth="1"/>
    <col min="11019" max="11019" width="7.5546875" style="18" bestFit="1" customWidth="1"/>
    <col min="11020" max="11020" width="1.77734375" style="18" customWidth="1"/>
    <col min="11021" max="11021" width="2.44140625" style="18" customWidth="1"/>
    <col min="11022" max="11022" width="8.77734375" style="18"/>
    <col min="11023" max="11024" width="12" style="18" customWidth="1"/>
    <col min="11025" max="11025" width="7.5546875" style="18" bestFit="1" customWidth="1"/>
    <col min="11026" max="11026" width="2.21875" style="18" customWidth="1"/>
    <col min="11027" max="11029" width="9.21875" style="18" bestFit="1" customWidth="1"/>
    <col min="11030" max="11037" width="9.21875" style="18" customWidth="1"/>
    <col min="11038" max="11038" width="10.21875" style="18" customWidth="1"/>
    <col min="11039" max="11039" width="5.77734375" style="18" customWidth="1"/>
    <col min="11040" max="11040" width="8.21875" style="18" customWidth="1"/>
    <col min="11041" max="11041" width="9.77734375" style="18" customWidth="1"/>
    <col min="11042" max="11042" width="8.21875" style="18" customWidth="1"/>
    <col min="11043" max="11043" width="6.77734375" style="18" customWidth="1"/>
    <col min="11044" max="11044" width="7.77734375" style="18" customWidth="1"/>
    <col min="11045" max="11051" width="9.21875" style="18" customWidth="1"/>
    <col min="11052" max="11261" width="8.77734375" style="18"/>
    <col min="11262" max="11263" width="8.77734375" style="18" customWidth="1"/>
    <col min="11264" max="11265" width="0.77734375" style="18" customWidth="1"/>
    <col min="11266" max="11266" width="3.77734375" style="18" customWidth="1"/>
    <col min="11267" max="11267" width="12.21875" style="18" bestFit="1" customWidth="1"/>
    <col min="11268" max="11268" width="12" style="18" bestFit="1" customWidth="1"/>
    <col min="11269" max="11269" width="30.21875" style="18" customWidth="1"/>
    <col min="11270" max="11270" width="5.44140625" style="18" customWidth="1"/>
    <col min="11271" max="11271" width="2.44140625" style="18" customWidth="1"/>
    <col min="11272" max="11272" width="8.77734375" style="18"/>
    <col min="11273" max="11273" width="12" style="18" customWidth="1"/>
    <col min="11274" max="11274" width="12" style="18" bestFit="1" customWidth="1"/>
    <col min="11275" max="11275" width="7.5546875" style="18" bestFit="1" customWidth="1"/>
    <col min="11276" max="11276" width="1.77734375" style="18" customWidth="1"/>
    <col min="11277" max="11277" width="2.44140625" style="18" customWidth="1"/>
    <col min="11278" max="11278" width="8.77734375" style="18"/>
    <col min="11279" max="11280" width="12" style="18" customWidth="1"/>
    <col min="11281" max="11281" width="7.5546875" style="18" bestFit="1" customWidth="1"/>
    <col min="11282" max="11282" width="2.21875" style="18" customWidth="1"/>
    <col min="11283" max="11285" width="9.21875" style="18" bestFit="1" customWidth="1"/>
    <col min="11286" max="11293" width="9.21875" style="18" customWidth="1"/>
    <col min="11294" max="11294" width="10.21875" style="18" customWidth="1"/>
    <col min="11295" max="11295" width="5.77734375" style="18" customWidth="1"/>
    <col min="11296" max="11296" width="8.21875" style="18" customWidth="1"/>
    <col min="11297" max="11297" width="9.77734375" style="18" customWidth="1"/>
    <col min="11298" max="11298" width="8.21875" style="18" customWidth="1"/>
    <col min="11299" max="11299" width="6.77734375" style="18" customWidth="1"/>
    <col min="11300" max="11300" width="7.77734375" style="18" customWidth="1"/>
    <col min="11301" max="11307" width="9.21875" style="18" customWidth="1"/>
    <col min="11308" max="11517" width="8.77734375" style="18"/>
    <col min="11518" max="11519" width="8.77734375" style="18" customWidth="1"/>
    <col min="11520" max="11521" width="0.77734375" style="18" customWidth="1"/>
    <col min="11522" max="11522" width="3.77734375" style="18" customWidth="1"/>
    <col min="11523" max="11523" width="12.21875" style="18" bestFit="1" customWidth="1"/>
    <col min="11524" max="11524" width="12" style="18" bestFit="1" customWidth="1"/>
    <col min="11525" max="11525" width="30.21875" style="18" customWidth="1"/>
    <col min="11526" max="11526" width="5.44140625" style="18" customWidth="1"/>
    <col min="11527" max="11527" width="2.44140625" style="18" customWidth="1"/>
    <col min="11528" max="11528" width="8.77734375" style="18"/>
    <col min="11529" max="11529" width="12" style="18" customWidth="1"/>
    <col min="11530" max="11530" width="12" style="18" bestFit="1" customWidth="1"/>
    <col min="11531" max="11531" width="7.5546875" style="18" bestFit="1" customWidth="1"/>
    <col min="11532" max="11532" width="1.77734375" style="18" customWidth="1"/>
    <col min="11533" max="11533" width="2.44140625" style="18" customWidth="1"/>
    <col min="11534" max="11534" width="8.77734375" style="18"/>
    <col min="11535" max="11536" width="12" style="18" customWidth="1"/>
    <col min="11537" max="11537" width="7.5546875" style="18" bestFit="1" customWidth="1"/>
    <col min="11538" max="11538" width="2.21875" style="18" customWidth="1"/>
    <col min="11539" max="11541" width="9.21875" style="18" bestFit="1" customWidth="1"/>
    <col min="11542" max="11549" width="9.21875" style="18" customWidth="1"/>
    <col min="11550" max="11550" width="10.21875" style="18" customWidth="1"/>
    <col min="11551" max="11551" width="5.77734375" style="18" customWidth="1"/>
    <col min="11552" max="11552" width="8.21875" style="18" customWidth="1"/>
    <col min="11553" max="11553" width="9.77734375" style="18" customWidth="1"/>
    <col min="11554" max="11554" width="8.21875" style="18" customWidth="1"/>
    <col min="11555" max="11555" width="6.77734375" style="18" customWidth="1"/>
    <col min="11556" max="11556" width="7.77734375" style="18" customWidth="1"/>
    <col min="11557" max="11563" width="9.21875" style="18" customWidth="1"/>
    <col min="11564" max="11773" width="8.77734375" style="18"/>
    <col min="11774" max="11775" width="8.77734375" style="18" customWidth="1"/>
    <col min="11776" max="11777" width="0.77734375" style="18" customWidth="1"/>
    <col min="11778" max="11778" width="3.77734375" style="18" customWidth="1"/>
    <col min="11779" max="11779" width="12.21875" style="18" bestFit="1" customWidth="1"/>
    <col min="11780" max="11780" width="12" style="18" bestFit="1" customWidth="1"/>
    <col min="11781" max="11781" width="30.21875" style="18" customWidth="1"/>
    <col min="11782" max="11782" width="5.44140625" style="18" customWidth="1"/>
    <col min="11783" max="11783" width="2.44140625" style="18" customWidth="1"/>
    <col min="11784" max="11784" width="8.77734375" style="18"/>
    <col min="11785" max="11785" width="12" style="18" customWidth="1"/>
    <col min="11786" max="11786" width="12" style="18" bestFit="1" customWidth="1"/>
    <col min="11787" max="11787" width="7.5546875" style="18" bestFit="1" customWidth="1"/>
    <col min="11788" max="11788" width="1.77734375" style="18" customWidth="1"/>
    <col min="11789" max="11789" width="2.44140625" style="18" customWidth="1"/>
    <col min="11790" max="11790" width="8.77734375" style="18"/>
    <col min="11791" max="11792" width="12" style="18" customWidth="1"/>
    <col min="11793" max="11793" width="7.5546875" style="18" bestFit="1" customWidth="1"/>
    <col min="11794" max="11794" width="2.21875" style="18" customWidth="1"/>
    <col min="11795" max="11797" width="9.21875" style="18" bestFit="1" customWidth="1"/>
    <col min="11798" max="11805" width="9.21875" style="18" customWidth="1"/>
    <col min="11806" max="11806" width="10.21875" style="18" customWidth="1"/>
    <col min="11807" max="11807" width="5.77734375" style="18" customWidth="1"/>
    <col min="11808" max="11808" width="8.21875" style="18" customWidth="1"/>
    <col min="11809" max="11809" width="9.77734375" style="18" customWidth="1"/>
    <col min="11810" max="11810" width="8.21875" style="18" customWidth="1"/>
    <col min="11811" max="11811" width="6.77734375" style="18" customWidth="1"/>
    <col min="11812" max="11812" width="7.77734375" style="18" customWidth="1"/>
    <col min="11813" max="11819" width="9.21875" style="18" customWidth="1"/>
    <col min="11820" max="12029" width="8.77734375" style="18"/>
    <col min="12030" max="12031" width="8.77734375" style="18" customWidth="1"/>
    <col min="12032" max="12033" width="0.77734375" style="18" customWidth="1"/>
    <col min="12034" max="12034" width="3.77734375" style="18" customWidth="1"/>
    <col min="12035" max="12035" width="12.21875" style="18" bestFit="1" customWidth="1"/>
    <col min="12036" max="12036" width="12" style="18" bestFit="1" customWidth="1"/>
    <col min="12037" max="12037" width="30.21875" style="18" customWidth="1"/>
    <col min="12038" max="12038" width="5.44140625" style="18" customWidth="1"/>
    <col min="12039" max="12039" width="2.44140625" style="18" customWidth="1"/>
    <col min="12040" max="12040" width="8.77734375" style="18"/>
    <col min="12041" max="12041" width="12" style="18" customWidth="1"/>
    <col min="12042" max="12042" width="12" style="18" bestFit="1" customWidth="1"/>
    <col min="12043" max="12043" width="7.5546875" style="18" bestFit="1" customWidth="1"/>
    <col min="12044" max="12044" width="1.77734375" style="18" customWidth="1"/>
    <col min="12045" max="12045" width="2.44140625" style="18" customWidth="1"/>
    <col min="12046" max="12046" width="8.77734375" style="18"/>
    <col min="12047" max="12048" width="12" style="18" customWidth="1"/>
    <col min="12049" max="12049" width="7.5546875" style="18" bestFit="1" customWidth="1"/>
    <col min="12050" max="12050" width="2.21875" style="18" customWidth="1"/>
    <col min="12051" max="12053" width="9.21875" style="18" bestFit="1" customWidth="1"/>
    <col min="12054" max="12061" width="9.21875" style="18" customWidth="1"/>
    <col min="12062" max="12062" width="10.21875" style="18" customWidth="1"/>
    <col min="12063" max="12063" width="5.77734375" style="18" customWidth="1"/>
    <col min="12064" max="12064" width="8.21875" style="18" customWidth="1"/>
    <col min="12065" max="12065" width="9.77734375" style="18" customWidth="1"/>
    <col min="12066" max="12066" width="8.21875" style="18" customWidth="1"/>
    <col min="12067" max="12067" width="6.77734375" style="18" customWidth="1"/>
    <col min="12068" max="12068" width="7.77734375" style="18" customWidth="1"/>
    <col min="12069" max="12075" width="9.21875" style="18" customWidth="1"/>
    <col min="12076" max="12285" width="8.77734375" style="18"/>
    <col min="12286" max="12287" width="8.77734375" style="18" customWidth="1"/>
    <col min="12288" max="12289" width="0.77734375" style="18" customWidth="1"/>
    <col min="12290" max="12290" width="3.77734375" style="18" customWidth="1"/>
    <col min="12291" max="12291" width="12.21875" style="18" bestFit="1" customWidth="1"/>
    <col min="12292" max="12292" width="12" style="18" bestFit="1" customWidth="1"/>
    <col min="12293" max="12293" width="30.21875" style="18" customWidth="1"/>
    <col min="12294" max="12294" width="5.44140625" style="18" customWidth="1"/>
    <col min="12295" max="12295" width="2.44140625" style="18" customWidth="1"/>
    <col min="12296" max="12296" width="8.77734375" style="18"/>
    <col min="12297" max="12297" width="12" style="18" customWidth="1"/>
    <col min="12298" max="12298" width="12" style="18" bestFit="1" customWidth="1"/>
    <col min="12299" max="12299" width="7.5546875" style="18" bestFit="1" customWidth="1"/>
    <col min="12300" max="12300" width="1.77734375" style="18" customWidth="1"/>
    <col min="12301" max="12301" width="2.44140625" style="18" customWidth="1"/>
    <col min="12302" max="12302" width="8.77734375" style="18"/>
    <col min="12303" max="12304" width="12" style="18" customWidth="1"/>
    <col min="12305" max="12305" width="7.5546875" style="18" bestFit="1" customWidth="1"/>
    <col min="12306" max="12306" width="2.21875" style="18" customWidth="1"/>
    <col min="12307" max="12309" width="9.21875" style="18" bestFit="1" customWidth="1"/>
    <col min="12310" max="12317" width="9.21875" style="18" customWidth="1"/>
    <col min="12318" max="12318" width="10.21875" style="18" customWidth="1"/>
    <col min="12319" max="12319" width="5.77734375" style="18" customWidth="1"/>
    <col min="12320" max="12320" width="8.21875" style="18" customWidth="1"/>
    <col min="12321" max="12321" width="9.77734375" style="18" customWidth="1"/>
    <col min="12322" max="12322" width="8.21875" style="18" customWidth="1"/>
    <col min="12323" max="12323" width="6.77734375" style="18" customWidth="1"/>
    <col min="12324" max="12324" width="7.77734375" style="18" customWidth="1"/>
    <col min="12325" max="12331" width="9.21875" style="18" customWidth="1"/>
    <col min="12332" max="12541" width="8.77734375" style="18"/>
    <col min="12542" max="12543" width="8.77734375" style="18" customWidth="1"/>
    <col min="12544" max="12545" width="0.77734375" style="18" customWidth="1"/>
    <col min="12546" max="12546" width="3.77734375" style="18" customWidth="1"/>
    <col min="12547" max="12547" width="12.21875" style="18" bestFit="1" customWidth="1"/>
    <col min="12548" max="12548" width="12" style="18" bestFit="1" customWidth="1"/>
    <col min="12549" max="12549" width="30.21875" style="18" customWidth="1"/>
    <col min="12550" max="12550" width="5.44140625" style="18" customWidth="1"/>
    <col min="12551" max="12551" width="2.44140625" style="18" customWidth="1"/>
    <col min="12552" max="12552" width="8.77734375" style="18"/>
    <col min="12553" max="12553" width="12" style="18" customWidth="1"/>
    <col min="12554" max="12554" width="12" style="18" bestFit="1" customWidth="1"/>
    <col min="12555" max="12555" width="7.5546875" style="18" bestFit="1" customWidth="1"/>
    <col min="12556" max="12556" width="1.77734375" style="18" customWidth="1"/>
    <col min="12557" max="12557" width="2.44140625" style="18" customWidth="1"/>
    <col min="12558" max="12558" width="8.77734375" style="18"/>
    <col min="12559" max="12560" width="12" style="18" customWidth="1"/>
    <col min="12561" max="12561" width="7.5546875" style="18" bestFit="1" customWidth="1"/>
    <col min="12562" max="12562" width="2.21875" style="18" customWidth="1"/>
    <col min="12563" max="12565" width="9.21875" style="18" bestFit="1" customWidth="1"/>
    <col min="12566" max="12573" width="9.21875" style="18" customWidth="1"/>
    <col min="12574" max="12574" width="10.21875" style="18" customWidth="1"/>
    <col min="12575" max="12575" width="5.77734375" style="18" customWidth="1"/>
    <col min="12576" max="12576" width="8.21875" style="18" customWidth="1"/>
    <col min="12577" max="12577" width="9.77734375" style="18" customWidth="1"/>
    <col min="12578" max="12578" width="8.21875" style="18" customWidth="1"/>
    <col min="12579" max="12579" width="6.77734375" style="18" customWidth="1"/>
    <col min="12580" max="12580" width="7.77734375" style="18" customWidth="1"/>
    <col min="12581" max="12587" width="9.21875" style="18" customWidth="1"/>
    <col min="12588" max="12797" width="8.77734375" style="18"/>
    <col min="12798" max="12799" width="8.77734375" style="18" customWidth="1"/>
    <col min="12800" max="12801" width="0.77734375" style="18" customWidth="1"/>
    <col min="12802" max="12802" width="3.77734375" style="18" customWidth="1"/>
    <col min="12803" max="12803" width="12.21875" style="18" bestFit="1" customWidth="1"/>
    <col min="12804" max="12804" width="12" style="18" bestFit="1" customWidth="1"/>
    <col min="12805" max="12805" width="30.21875" style="18" customWidth="1"/>
    <col min="12806" max="12806" width="5.44140625" style="18" customWidth="1"/>
    <col min="12807" max="12807" width="2.44140625" style="18" customWidth="1"/>
    <col min="12808" max="12808" width="8.77734375" style="18"/>
    <col min="12809" max="12809" width="12" style="18" customWidth="1"/>
    <col min="12810" max="12810" width="12" style="18" bestFit="1" customWidth="1"/>
    <col min="12811" max="12811" width="7.5546875" style="18" bestFit="1" customWidth="1"/>
    <col min="12812" max="12812" width="1.77734375" style="18" customWidth="1"/>
    <col min="12813" max="12813" width="2.44140625" style="18" customWidth="1"/>
    <col min="12814" max="12814" width="8.77734375" style="18"/>
    <col min="12815" max="12816" width="12" style="18" customWidth="1"/>
    <col min="12817" max="12817" width="7.5546875" style="18" bestFit="1" customWidth="1"/>
    <col min="12818" max="12818" width="2.21875" style="18" customWidth="1"/>
    <col min="12819" max="12821" width="9.21875" style="18" bestFit="1" customWidth="1"/>
    <col min="12822" max="12829" width="9.21875" style="18" customWidth="1"/>
    <col min="12830" max="12830" width="10.21875" style="18" customWidth="1"/>
    <col min="12831" max="12831" width="5.77734375" style="18" customWidth="1"/>
    <col min="12832" max="12832" width="8.21875" style="18" customWidth="1"/>
    <col min="12833" max="12833" width="9.77734375" style="18" customWidth="1"/>
    <col min="12834" max="12834" width="8.21875" style="18" customWidth="1"/>
    <col min="12835" max="12835" width="6.77734375" style="18" customWidth="1"/>
    <col min="12836" max="12836" width="7.77734375" style="18" customWidth="1"/>
    <col min="12837" max="12843" width="9.21875" style="18" customWidth="1"/>
    <col min="12844" max="13053" width="8.77734375" style="18"/>
    <col min="13054" max="13055" width="8.77734375" style="18" customWidth="1"/>
    <col min="13056" max="13057" width="0.77734375" style="18" customWidth="1"/>
    <col min="13058" max="13058" width="3.77734375" style="18" customWidth="1"/>
    <col min="13059" max="13059" width="12.21875" style="18" bestFit="1" customWidth="1"/>
    <col min="13060" max="13060" width="12" style="18" bestFit="1" customWidth="1"/>
    <col min="13061" max="13061" width="30.21875" style="18" customWidth="1"/>
    <col min="13062" max="13062" width="5.44140625" style="18" customWidth="1"/>
    <col min="13063" max="13063" width="2.44140625" style="18" customWidth="1"/>
    <col min="13064" max="13064" width="8.77734375" style="18"/>
    <col min="13065" max="13065" width="12" style="18" customWidth="1"/>
    <col min="13066" max="13066" width="12" style="18" bestFit="1" customWidth="1"/>
    <col min="13067" max="13067" width="7.5546875" style="18" bestFit="1" customWidth="1"/>
    <col min="13068" max="13068" width="1.77734375" style="18" customWidth="1"/>
    <col min="13069" max="13069" width="2.44140625" style="18" customWidth="1"/>
    <col min="13070" max="13070" width="8.77734375" style="18"/>
    <col min="13071" max="13072" width="12" style="18" customWidth="1"/>
    <col min="13073" max="13073" width="7.5546875" style="18" bestFit="1" customWidth="1"/>
    <col min="13074" max="13074" width="2.21875" style="18" customWidth="1"/>
    <col min="13075" max="13077" width="9.21875" style="18" bestFit="1" customWidth="1"/>
    <col min="13078" max="13085" width="9.21875" style="18" customWidth="1"/>
    <col min="13086" max="13086" width="10.21875" style="18" customWidth="1"/>
    <col min="13087" max="13087" width="5.77734375" style="18" customWidth="1"/>
    <col min="13088" max="13088" width="8.21875" style="18" customWidth="1"/>
    <col min="13089" max="13089" width="9.77734375" style="18" customWidth="1"/>
    <col min="13090" max="13090" width="8.21875" style="18" customWidth="1"/>
    <col min="13091" max="13091" width="6.77734375" style="18" customWidth="1"/>
    <col min="13092" max="13092" width="7.77734375" style="18" customWidth="1"/>
    <col min="13093" max="13099" width="9.21875" style="18" customWidth="1"/>
    <col min="13100" max="13309" width="8.77734375" style="18"/>
    <col min="13310" max="13311" width="8.77734375" style="18" customWidth="1"/>
    <col min="13312" max="13313" width="0.77734375" style="18" customWidth="1"/>
    <col min="13314" max="13314" width="3.77734375" style="18" customWidth="1"/>
    <col min="13315" max="13315" width="12.21875" style="18" bestFit="1" customWidth="1"/>
    <col min="13316" max="13316" width="12" style="18" bestFit="1" customWidth="1"/>
    <col min="13317" max="13317" width="30.21875" style="18" customWidth="1"/>
    <col min="13318" max="13318" width="5.44140625" style="18" customWidth="1"/>
    <col min="13319" max="13319" width="2.44140625" style="18" customWidth="1"/>
    <col min="13320" max="13320" width="8.77734375" style="18"/>
    <col min="13321" max="13321" width="12" style="18" customWidth="1"/>
    <col min="13322" max="13322" width="12" style="18" bestFit="1" customWidth="1"/>
    <col min="13323" max="13323" width="7.5546875" style="18" bestFit="1" customWidth="1"/>
    <col min="13324" max="13324" width="1.77734375" style="18" customWidth="1"/>
    <col min="13325" max="13325" width="2.44140625" style="18" customWidth="1"/>
    <col min="13326" max="13326" width="8.77734375" style="18"/>
    <col min="13327" max="13328" width="12" style="18" customWidth="1"/>
    <col min="13329" max="13329" width="7.5546875" style="18" bestFit="1" customWidth="1"/>
    <col min="13330" max="13330" width="2.21875" style="18" customWidth="1"/>
    <col min="13331" max="13333" width="9.21875" style="18" bestFit="1" customWidth="1"/>
    <col min="13334" max="13341" width="9.21875" style="18" customWidth="1"/>
    <col min="13342" max="13342" width="10.21875" style="18" customWidth="1"/>
    <col min="13343" max="13343" width="5.77734375" style="18" customWidth="1"/>
    <col min="13344" max="13344" width="8.21875" style="18" customWidth="1"/>
    <col min="13345" max="13345" width="9.77734375" style="18" customWidth="1"/>
    <col min="13346" max="13346" width="8.21875" style="18" customWidth="1"/>
    <col min="13347" max="13347" width="6.77734375" style="18" customWidth="1"/>
    <col min="13348" max="13348" width="7.77734375" style="18" customWidth="1"/>
    <col min="13349" max="13355" width="9.21875" style="18" customWidth="1"/>
    <col min="13356" max="13565" width="8.77734375" style="18"/>
    <col min="13566" max="13567" width="8.77734375" style="18" customWidth="1"/>
    <col min="13568" max="13569" width="0.77734375" style="18" customWidth="1"/>
    <col min="13570" max="13570" width="3.77734375" style="18" customWidth="1"/>
    <col min="13571" max="13571" width="12.21875" style="18" bestFit="1" customWidth="1"/>
    <col min="13572" max="13572" width="12" style="18" bestFit="1" customWidth="1"/>
    <col min="13573" max="13573" width="30.21875" style="18" customWidth="1"/>
    <col min="13574" max="13574" width="5.44140625" style="18" customWidth="1"/>
    <col min="13575" max="13575" width="2.44140625" style="18" customWidth="1"/>
    <col min="13576" max="13576" width="8.77734375" style="18"/>
    <col min="13577" max="13577" width="12" style="18" customWidth="1"/>
    <col min="13578" max="13578" width="12" style="18" bestFit="1" customWidth="1"/>
    <col min="13579" max="13579" width="7.5546875" style="18" bestFit="1" customWidth="1"/>
    <col min="13580" max="13580" width="1.77734375" style="18" customWidth="1"/>
    <col min="13581" max="13581" width="2.44140625" style="18" customWidth="1"/>
    <col min="13582" max="13582" width="8.77734375" style="18"/>
    <col min="13583" max="13584" width="12" style="18" customWidth="1"/>
    <col min="13585" max="13585" width="7.5546875" style="18" bestFit="1" customWidth="1"/>
    <col min="13586" max="13586" width="2.21875" style="18" customWidth="1"/>
    <col min="13587" max="13589" width="9.21875" style="18" bestFit="1" customWidth="1"/>
    <col min="13590" max="13597" width="9.21875" style="18" customWidth="1"/>
    <col min="13598" max="13598" width="10.21875" style="18" customWidth="1"/>
    <col min="13599" max="13599" width="5.77734375" style="18" customWidth="1"/>
    <col min="13600" max="13600" width="8.21875" style="18" customWidth="1"/>
    <col min="13601" max="13601" width="9.77734375" style="18" customWidth="1"/>
    <col min="13602" max="13602" width="8.21875" style="18" customWidth="1"/>
    <col min="13603" max="13603" width="6.77734375" style="18" customWidth="1"/>
    <col min="13604" max="13604" width="7.77734375" style="18" customWidth="1"/>
    <col min="13605" max="13611" width="9.21875" style="18" customWidth="1"/>
    <col min="13612" max="13821" width="8.77734375" style="18"/>
    <col min="13822" max="13823" width="8.77734375" style="18" customWidth="1"/>
    <col min="13824" max="13825" width="0.77734375" style="18" customWidth="1"/>
    <col min="13826" max="13826" width="3.77734375" style="18" customWidth="1"/>
    <col min="13827" max="13827" width="12.21875" style="18" bestFit="1" customWidth="1"/>
    <col min="13828" max="13828" width="12" style="18" bestFit="1" customWidth="1"/>
    <col min="13829" max="13829" width="30.21875" style="18" customWidth="1"/>
    <col min="13830" max="13830" width="5.44140625" style="18" customWidth="1"/>
    <col min="13831" max="13831" width="2.44140625" style="18" customWidth="1"/>
    <col min="13832" max="13832" width="8.77734375" style="18"/>
    <col min="13833" max="13833" width="12" style="18" customWidth="1"/>
    <col min="13834" max="13834" width="12" style="18" bestFit="1" customWidth="1"/>
    <col min="13835" max="13835" width="7.5546875" style="18" bestFit="1" customWidth="1"/>
    <col min="13836" max="13836" width="1.77734375" style="18" customWidth="1"/>
    <col min="13837" max="13837" width="2.44140625" style="18" customWidth="1"/>
    <col min="13838" max="13838" width="8.77734375" style="18"/>
    <col min="13839" max="13840" width="12" style="18" customWidth="1"/>
    <col min="13841" max="13841" width="7.5546875" style="18" bestFit="1" customWidth="1"/>
    <col min="13842" max="13842" width="2.21875" style="18" customWidth="1"/>
    <col min="13843" max="13845" width="9.21875" style="18" bestFit="1" customWidth="1"/>
    <col min="13846" max="13853" width="9.21875" style="18" customWidth="1"/>
    <col min="13854" max="13854" width="10.21875" style="18" customWidth="1"/>
    <col min="13855" max="13855" width="5.77734375" style="18" customWidth="1"/>
    <col min="13856" max="13856" width="8.21875" style="18" customWidth="1"/>
    <col min="13857" max="13857" width="9.77734375" style="18" customWidth="1"/>
    <col min="13858" max="13858" width="8.21875" style="18" customWidth="1"/>
    <col min="13859" max="13859" width="6.77734375" style="18" customWidth="1"/>
    <col min="13860" max="13860" width="7.77734375" style="18" customWidth="1"/>
    <col min="13861" max="13867" width="9.21875" style="18" customWidth="1"/>
    <col min="13868" max="14077" width="8.77734375" style="18"/>
    <col min="14078" max="14079" width="8.77734375" style="18" customWidth="1"/>
    <col min="14080" max="14081" width="0.77734375" style="18" customWidth="1"/>
    <col min="14082" max="14082" width="3.77734375" style="18" customWidth="1"/>
    <col min="14083" max="14083" width="12.21875" style="18" bestFit="1" customWidth="1"/>
    <col min="14084" max="14084" width="12" style="18" bestFit="1" customWidth="1"/>
    <col min="14085" max="14085" width="30.21875" style="18" customWidth="1"/>
    <col min="14086" max="14086" width="5.44140625" style="18" customWidth="1"/>
    <col min="14087" max="14087" width="2.44140625" style="18" customWidth="1"/>
    <col min="14088" max="14088" width="8.77734375" style="18"/>
    <col min="14089" max="14089" width="12" style="18" customWidth="1"/>
    <col min="14090" max="14090" width="12" style="18" bestFit="1" customWidth="1"/>
    <col min="14091" max="14091" width="7.5546875" style="18" bestFit="1" customWidth="1"/>
    <col min="14092" max="14092" width="1.77734375" style="18" customWidth="1"/>
    <col min="14093" max="14093" width="2.44140625" style="18" customWidth="1"/>
    <col min="14094" max="14094" width="8.77734375" style="18"/>
    <col min="14095" max="14096" width="12" style="18" customWidth="1"/>
    <col min="14097" max="14097" width="7.5546875" style="18" bestFit="1" customWidth="1"/>
    <col min="14098" max="14098" width="2.21875" style="18" customWidth="1"/>
    <col min="14099" max="14101" width="9.21875" style="18" bestFit="1" customWidth="1"/>
    <col min="14102" max="14109" width="9.21875" style="18" customWidth="1"/>
    <col min="14110" max="14110" width="10.21875" style="18" customWidth="1"/>
    <col min="14111" max="14111" width="5.77734375" style="18" customWidth="1"/>
    <col min="14112" max="14112" width="8.21875" style="18" customWidth="1"/>
    <col min="14113" max="14113" width="9.77734375" style="18" customWidth="1"/>
    <col min="14114" max="14114" width="8.21875" style="18" customWidth="1"/>
    <col min="14115" max="14115" width="6.77734375" style="18" customWidth="1"/>
    <col min="14116" max="14116" width="7.77734375" style="18" customWidth="1"/>
    <col min="14117" max="14123" width="9.21875" style="18" customWidth="1"/>
    <col min="14124" max="14333" width="8.77734375" style="18"/>
    <col min="14334" max="14335" width="8.77734375" style="18" customWidth="1"/>
    <col min="14336" max="14337" width="0.77734375" style="18" customWidth="1"/>
    <col min="14338" max="14338" width="3.77734375" style="18" customWidth="1"/>
    <col min="14339" max="14339" width="12.21875" style="18" bestFit="1" customWidth="1"/>
    <col min="14340" max="14340" width="12" style="18" bestFit="1" customWidth="1"/>
    <col min="14341" max="14341" width="30.21875" style="18" customWidth="1"/>
    <col min="14342" max="14342" width="5.44140625" style="18" customWidth="1"/>
    <col min="14343" max="14343" width="2.44140625" style="18" customWidth="1"/>
    <col min="14344" max="14344" width="8.77734375" style="18"/>
    <col min="14345" max="14345" width="12" style="18" customWidth="1"/>
    <col min="14346" max="14346" width="12" style="18" bestFit="1" customWidth="1"/>
    <col min="14347" max="14347" width="7.5546875" style="18" bestFit="1" customWidth="1"/>
    <col min="14348" max="14348" width="1.77734375" style="18" customWidth="1"/>
    <col min="14349" max="14349" width="2.44140625" style="18" customWidth="1"/>
    <col min="14350" max="14350" width="8.77734375" style="18"/>
    <col min="14351" max="14352" width="12" style="18" customWidth="1"/>
    <col min="14353" max="14353" width="7.5546875" style="18" bestFit="1" customWidth="1"/>
    <col min="14354" max="14354" width="2.21875" style="18" customWidth="1"/>
    <col min="14355" max="14357" width="9.21875" style="18" bestFit="1" customWidth="1"/>
    <col min="14358" max="14365" width="9.21875" style="18" customWidth="1"/>
    <col min="14366" max="14366" width="10.21875" style="18" customWidth="1"/>
    <col min="14367" max="14367" width="5.77734375" style="18" customWidth="1"/>
    <col min="14368" max="14368" width="8.21875" style="18" customWidth="1"/>
    <col min="14369" max="14369" width="9.77734375" style="18" customWidth="1"/>
    <col min="14370" max="14370" width="8.21875" style="18" customWidth="1"/>
    <col min="14371" max="14371" width="6.77734375" style="18" customWidth="1"/>
    <col min="14372" max="14372" width="7.77734375" style="18" customWidth="1"/>
    <col min="14373" max="14379" width="9.21875" style="18" customWidth="1"/>
    <col min="14380" max="14589" width="8.77734375" style="18"/>
    <col min="14590" max="14591" width="8.77734375" style="18" customWidth="1"/>
    <col min="14592" max="14593" width="0.77734375" style="18" customWidth="1"/>
    <col min="14594" max="14594" width="3.77734375" style="18" customWidth="1"/>
    <col min="14595" max="14595" width="12.21875" style="18" bestFit="1" customWidth="1"/>
    <col min="14596" max="14596" width="12" style="18" bestFit="1" customWidth="1"/>
    <col min="14597" max="14597" width="30.21875" style="18" customWidth="1"/>
    <col min="14598" max="14598" width="5.44140625" style="18" customWidth="1"/>
    <col min="14599" max="14599" width="2.44140625" style="18" customWidth="1"/>
    <col min="14600" max="14600" width="8.77734375" style="18"/>
    <col min="14601" max="14601" width="12" style="18" customWidth="1"/>
    <col min="14602" max="14602" width="12" style="18" bestFit="1" customWidth="1"/>
    <col min="14603" max="14603" width="7.5546875" style="18" bestFit="1" customWidth="1"/>
    <col min="14604" max="14604" width="1.77734375" style="18" customWidth="1"/>
    <col min="14605" max="14605" width="2.44140625" style="18" customWidth="1"/>
    <col min="14606" max="14606" width="8.77734375" style="18"/>
    <col min="14607" max="14608" width="12" style="18" customWidth="1"/>
    <col min="14609" max="14609" width="7.5546875" style="18" bestFit="1" customWidth="1"/>
    <col min="14610" max="14610" width="2.21875" style="18" customWidth="1"/>
    <col min="14611" max="14613" width="9.21875" style="18" bestFit="1" customWidth="1"/>
    <col min="14614" max="14621" width="9.21875" style="18" customWidth="1"/>
    <col min="14622" max="14622" width="10.21875" style="18" customWidth="1"/>
    <col min="14623" max="14623" width="5.77734375" style="18" customWidth="1"/>
    <col min="14624" max="14624" width="8.21875" style="18" customWidth="1"/>
    <col min="14625" max="14625" width="9.77734375" style="18" customWidth="1"/>
    <col min="14626" max="14626" width="8.21875" style="18" customWidth="1"/>
    <col min="14627" max="14627" width="6.77734375" style="18" customWidth="1"/>
    <col min="14628" max="14628" width="7.77734375" style="18" customWidth="1"/>
    <col min="14629" max="14635" width="9.21875" style="18" customWidth="1"/>
    <col min="14636" max="14845" width="8.77734375" style="18"/>
    <col min="14846" max="14847" width="8.77734375" style="18" customWidth="1"/>
    <col min="14848" max="14849" width="0.77734375" style="18" customWidth="1"/>
    <col min="14850" max="14850" width="3.77734375" style="18" customWidth="1"/>
    <col min="14851" max="14851" width="12.21875" style="18" bestFit="1" customWidth="1"/>
    <col min="14852" max="14852" width="12" style="18" bestFit="1" customWidth="1"/>
    <col min="14853" max="14853" width="30.21875" style="18" customWidth="1"/>
    <col min="14854" max="14854" width="5.44140625" style="18" customWidth="1"/>
    <col min="14855" max="14855" width="2.44140625" style="18" customWidth="1"/>
    <col min="14856" max="14856" width="8.77734375" style="18"/>
    <col min="14857" max="14857" width="12" style="18" customWidth="1"/>
    <col min="14858" max="14858" width="12" style="18" bestFit="1" customWidth="1"/>
    <col min="14859" max="14859" width="7.5546875" style="18" bestFit="1" customWidth="1"/>
    <col min="14860" max="14860" width="1.77734375" style="18" customWidth="1"/>
    <col min="14861" max="14861" width="2.44140625" style="18" customWidth="1"/>
    <col min="14862" max="14862" width="8.77734375" style="18"/>
    <col min="14863" max="14864" width="12" style="18" customWidth="1"/>
    <col min="14865" max="14865" width="7.5546875" style="18" bestFit="1" customWidth="1"/>
    <col min="14866" max="14866" width="2.21875" style="18" customWidth="1"/>
    <col min="14867" max="14869" width="9.21875" style="18" bestFit="1" customWidth="1"/>
    <col min="14870" max="14877" width="9.21875" style="18" customWidth="1"/>
    <col min="14878" max="14878" width="10.21875" style="18" customWidth="1"/>
    <col min="14879" max="14879" width="5.77734375" style="18" customWidth="1"/>
    <col min="14880" max="14880" width="8.21875" style="18" customWidth="1"/>
    <col min="14881" max="14881" width="9.77734375" style="18" customWidth="1"/>
    <col min="14882" max="14882" width="8.21875" style="18" customWidth="1"/>
    <col min="14883" max="14883" width="6.77734375" style="18" customWidth="1"/>
    <col min="14884" max="14884" width="7.77734375" style="18" customWidth="1"/>
    <col min="14885" max="14891" width="9.21875" style="18" customWidth="1"/>
    <col min="14892" max="15101" width="8.77734375" style="18"/>
    <col min="15102" max="15103" width="8.77734375" style="18" customWidth="1"/>
    <col min="15104" max="15105" width="0.77734375" style="18" customWidth="1"/>
    <col min="15106" max="15106" width="3.77734375" style="18" customWidth="1"/>
    <col min="15107" max="15107" width="12.21875" style="18" bestFit="1" customWidth="1"/>
    <col min="15108" max="15108" width="12" style="18" bestFit="1" customWidth="1"/>
    <col min="15109" max="15109" width="30.21875" style="18" customWidth="1"/>
    <col min="15110" max="15110" width="5.44140625" style="18" customWidth="1"/>
    <col min="15111" max="15111" width="2.44140625" style="18" customWidth="1"/>
    <col min="15112" max="15112" width="8.77734375" style="18"/>
    <col min="15113" max="15113" width="12" style="18" customWidth="1"/>
    <col min="15114" max="15114" width="12" style="18" bestFit="1" customWidth="1"/>
    <col min="15115" max="15115" width="7.5546875" style="18" bestFit="1" customWidth="1"/>
    <col min="15116" max="15116" width="1.77734375" style="18" customWidth="1"/>
    <col min="15117" max="15117" width="2.44140625" style="18" customWidth="1"/>
    <col min="15118" max="15118" width="8.77734375" style="18"/>
    <col min="15119" max="15120" width="12" style="18" customWidth="1"/>
    <col min="15121" max="15121" width="7.5546875" style="18" bestFit="1" customWidth="1"/>
    <col min="15122" max="15122" width="2.21875" style="18" customWidth="1"/>
    <col min="15123" max="15125" width="9.21875" style="18" bestFit="1" customWidth="1"/>
    <col min="15126" max="15133" width="9.21875" style="18" customWidth="1"/>
    <col min="15134" max="15134" width="10.21875" style="18" customWidth="1"/>
    <col min="15135" max="15135" width="5.77734375" style="18" customWidth="1"/>
    <col min="15136" max="15136" width="8.21875" style="18" customWidth="1"/>
    <col min="15137" max="15137" width="9.77734375" style="18" customWidth="1"/>
    <col min="15138" max="15138" width="8.21875" style="18" customWidth="1"/>
    <col min="15139" max="15139" width="6.77734375" style="18" customWidth="1"/>
    <col min="15140" max="15140" width="7.77734375" style="18" customWidth="1"/>
    <col min="15141" max="15147" width="9.21875" style="18" customWidth="1"/>
    <col min="15148" max="15357" width="8.77734375" style="18"/>
    <col min="15358" max="15359" width="8.77734375" style="18" customWidth="1"/>
    <col min="15360" max="15361" width="0.77734375" style="18" customWidth="1"/>
    <col min="15362" max="15362" width="3.77734375" style="18" customWidth="1"/>
    <col min="15363" max="15363" width="12.21875" style="18" bestFit="1" customWidth="1"/>
    <col min="15364" max="15364" width="12" style="18" bestFit="1" customWidth="1"/>
    <col min="15365" max="15365" width="30.21875" style="18" customWidth="1"/>
    <col min="15366" max="15366" width="5.44140625" style="18" customWidth="1"/>
    <col min="15367" max="15367" width="2.44140625" style="18" customWidth="1"/>
    <col min="15368" max="15368" width="8.77734375" style="18"/>
    <col min="15369" max="15369" width="12" style="18" customWidth="1"/>
    <col min="15370" max="15370" width="12" style="18" bestFit="1" customWidth="1"/>
    <col min="15371" max="15371" width="7.5546875" style="18" bestFit="1" customWidth="1"/>
    <col min="15372" max="15372" width="1.77734375" style="18" customWidth="1"/>
    <col min="15373" max="15373" width="2.44140625" style="18" customWidth="1"/>
    <col min="15374" max="15374" width="8.77734375" style="18"/>
    <col min="15375" max="15376" width="12" style="18" customWidth="1"/>
    <col min="15377" max="15377" width="7.5546875" style="18" bestFit="1" customWidth="1"/>
    <col min="15378" max="15378" width="2.21875" style="18" customWidth="1"/>
    <col min="15379" max="15381" width="9.21875" style="18" bestFit="1" customWidth="1"/>
    <col min="15382" max="15389" width="9.21875" style="18" customWidth="1"/>
    <col min="15390" max="15390" width="10.21875" style="18" customWidth="1"/>
    <col min="15391" max="15391" width="5.77734375" style="18" customWidth="1"/>
    <col min="15392" max="15392" width="8.21875" style="18" customWidth="1"/>
    <col min="15393" max="15393" width="9.77734375" style="18" customWidth="1"/>
    <col min="15394" max="15394" width="8.21875" style="18" customWidth="1"/>
    <col min="15395" max="15395" width="6.77734375" style="18" customWidth="1"/>
    <col min="15396" max="15396" width="7.77734375" style="18" customWidth="1"/>
    <col min="15397" max="15403" width="9.21875" style="18" customWidth="1"/>
    <col min="15404" max="15613" width="8.77734375" style="18"/>
    <col min="15614" max="15615" width="8.77734375" style="18" customWidth="1"/>
    <col min="15616" max="15617" width="0.77734375" style="18" customWidth="1"/>
    <col min="15618" max="15618" width="3.77734375" style="18" customWidth="1"/>
    <col min="15619" max="15619" width="12.21875" style="18" bestFit="1" customWidth="1"/>
    <col min="15620" max="15620" width="12" style="18" bestFit="1" customWidth="1"/>
    <col min="15621" max="15621" width="30.21875" style="18" customWidth="1"/>
    <col min="15622" max="15622" width="5.44140625" style="18" customWidth="1"/>
    <col min="15623" max="15623" width="2.44140625" style="18" customWidth="1"/>
    <col min="15624" max="15624" width="8.77734375" style="18"/>
    <col min="15625" max="15625" width="12" style="18" customWidth="1"/>
    <col min="15626" max="15626" width="12" style="18" bestFit="1" customWidth="1"/>
    <col min="15627" max="15627" width="7.5546875" style="18" bestFit="1" customWidth="1"/>
    <col min="15628" max="15628" width="1.77734375" style="18" customWidth="1"/>
    <col min="15629" max="15629" width="2.44140625" style="18" customWidth="1"/>
    <col min="15630" max="15630" width="8.77734375" style="18"/>
    <col min="15631" max="15632" width="12" style="18" customWidth="1"/>
    <col min="15633" max="15633" width="7.5546875" style="18" bestFit="1" customWidth="1"/>
    <col min="15634" max="15634" width="2.21875" style="18" customWidth="1"/>
    <col min="15635" max="15637" width="9.21875" style="18" bestFit="1" customWidth="1"/>
    <col min="15638" max="15645" width="9.21875" style="18" customWidth="1"/>
    <col min="15646" max="15646" width="10.21875" style="18" customWidth="1"/>
    <col min="15647" max="15647" width="5.77734375" style="18" customWidth="1"/>
    <col min="15648" max="15648" width="8.21875" style="18" customWidth="1"/>
    <col min="15649" max="15649" width="9.77734375" style="18" customWidth="1"/>
    <col min="15650" max="15650" width="8.21875" style="18" customWidth="1"/>
    <col min="15651" max="15651" width="6.77734375" style="18" customWidth="1"/>
    <col min="15652" max="15652" width="7.77734375" style="18" customWidth="1"/>
    <col min="15653" max="15659" width="9.21875" style="18" customWidth="1"/>
    <col min="15660" max="15869" width="8.77734375" style="18"/>
    <col min="15870" max="15871" width="8.77734375" style="18" customWidth="1"/>
    <col min="15872" max="15873" width="0.77734375" style="18" customWidth="1"/>
    <col min="15874" max="15874" width="3.77734375" style="18" customWidth="1"/>
    <col min="15875" max="15875" width="12.21875" style="18" bestFit="1" customWidth="1"/>
    <col min="15876" max="15876" width="12" style="18" bestFit="1" customWidth="1"/>
    <col min="15877" max="15877" width="30.21875" style="18" customWidth="1"/>
    <col min="15878" max="15878" width="5.44140625" style="18" customWidth="1"/>
    <col min="15879" max="15879" width="2.44140625" style="18" customWidth="1"/>
    <col min="15880" max="15880" width="8.77734375" style="18"/>
    <col min="15881" max="15881" width="12" style="18" customWidth="1"/>
    <col min="15882" max="15882" width="12" style="18" bestFit="1" customWidth="1"/>
    <col min="15883" max="15883" width="7.5546875" style="18" bestFit="1" customWidth="1"/>
    <col min="15884" max="15884" width="1.77734375" style="18" customWidth="1"/>
    <col min="15885" max="15885" width="2.44140625" style="18" customWidth="1"/>
    <col min="15886" max="15886" width="8.77734375" style="18"/>
    <col min="15887" max="15888" width="12" style="18" customWidth="1"/>
    <col min="15889" max="15889" width="7.5546875" style="18" bestFit="1" customWidth="1"/>
    <col min="15890" max="15890" width="2.21875" style="18" customWidth="1"/>
    <col min="15891" max="15893" width="9.21875" style="18" bestFit="1" customWidth="1"/>
    <col min="15894" max="15901" width="9.21875" style="18" customWidth="1"/>
    <col min="15902" max="15902" width="10.21875" style="18" customWidth="1"/>
    <col min="15903" max="15903" width="5.77734375" style="18" customWidth="1"/>
    <col min="15904" max="15904" width="8.21875" style="18" customWidth="1"/>
    <col min="15905" max="15905" width="9.77734375" style="18" customWidth="1"/>
    <col min="15906" max="15906" width="8.21875" style="18" customWidth="1"/>
    <col min="15907" max="15907" width="6.77734375" style="18" customWidth="1"/>
    <col min="15908" max="15908" width="7.77734375" style="18" customWidth="1"/>
    <col min="15909" max="15915" width="9.21875" style="18" customWidth="1"/>
    <col min="15916" max="16125" width="8.77734375" style="18"/>
    <col min="16126" max="16127" width="8.77734375" style="18" customWidth="1"/>
    <col min="16128" max="16129" width="0.77734375" style="18" customWidth="1"/>
    <col min="16130" max="16130" width="3.77734375" style="18" customWidth="1"/>
    <col min="16131" max="16131" width="12.21875" style="18" bestFit="1" customWidth="1"/>
    <col min="16132" max="16132" width="12" style="18" bestFit="1" customWidth="1"/>
    <col min="16133" max="16133" width="30.21875" style="18" customWidth="1"/>
    <col min="16134" max="16134" width="5.44140625" style="18" customWidth="1"/>
    <col min="16135" max="16135" width="2.44140625" style="18" customWidth="1"/>
    <col min="16136" max="16136" width="8.77734375" style="18"/>
    <col min="16137" max="16137" width="12" style="18" customWidth="1"/>
    <col min="16138" max="16138" width="12" style="18" bestFit="1" customWidth="1"/>
    <col min="16139" max="16139" width="7.5546875" style="18" bestFit="1" customWidth="1"/>
    <col min="16140" max="16140" width="1.77734375" style="18" customWidth="1"/>
    <col min="16141" max="16141" width="2.44140625" style="18" customWidth="1"/>
    <col min="16142" max="16142" width="8.77734375" style="18"/>
    <col min="16143" max="16144" width="12" style="18" customWidth="1"/>
    <col min="16145" max="16145" width="7.5546875" style="18" bestFit="1" customWidth="1"/>
    <col min="16146" max="16146" width="2.21875" style="18" customWidth="1"/>
    <col min="16147" max="16149" width="9.21875" style="18" bestFit="1" customWidth="1"/>
    <col min="16150" max="16157" width="9.21875" style="18" customWidth="1"/>
    <col min="16158" max="16158" width="10.21875" style="18" customWidth="1"/>
    <col min="16159" max="16159" width="5.77734375" style="18" customWidth="1"/>
    <col min="16160" max="16160" width="8.21875" style="18" customWidth="1"/>
    <col min="16161" max="16161" width="9.77734375" style="18" customWidth="1"/>
    <col min="16162" max="16162" width="8.21875" style="18" customWidth="1"/>
    <col min="16163" max="16163" width="6.77734375" style="18" customWidth="1"/>
    <col min="16164" max="16164" width="7.77734375" style="18" customWidth="1"/>
    <col min="16165" max="16171" width="9.21875" style="18" customWidth="1"/>
    <col min="16172" max="16381" width="8.77734375" style="18"/>
    <col min="16382" max="16384" width="8.77734375" style="18" customWidth="1"/>
  </cols>
  <sheetData>
    <row r="1" spans="1:35" ht="4.5" customHeight="1" thickBot="1" x14ac:dyDescent="0.35">
      <c r="A1" s="139"/>
    </row>
    <row r="2" spans="1:35" ht="85.95" customHeight="1" x14ac:dyDescent="0.3">
      <c r="A2" s="49"/>
      <c r="B2" s="170" t="str">
        <f>"Round "&amp;Y22&amp;" Statistics"</f>
        <v>Round 8 Statistics</v>
      </c>
      <c r="C2" s="171"/>
      <c r="D2" s="171"/>
      <c r="E2" s="171"/>
      <c r="F2" s="171"/>
      <c r="G2" s="171"/>
      <c r="H2" s="171"/>
      <c r="I2" s="171"/>
      <c r="J2" s="171"/>
      <c r="K2" s="171"/>
      <c r="L2" s="171"/>
      <c r="M2" s="171"/>
      <c r="N2" s="171"/>
      <c r="O2" s="171"/>
      <c r="P2" s="171"/>
      <c r="Q2" s="171"/>
      <c r="R2" s="75"/>
      <c r="S2" s="76"/>
      <c r="AI2" s="163" t="s">
        <v>91</v>
      </c>
    </row>
    <row r="3" spans="1:35" x14ac:dyDescent="0.3">
      <c r="A3" s="49"/>
      <c r="B3" s="57"/>
      <c r="C3" s="28"/>
      <c r="D3" s="27"/>
      <c r="E3" s="27"/>
      <c r="F3" s="27"/>
      <c r="G3" s="26"/>
      <c r="H3" s="26"/>
      <c r="I3" s="26"/>
      <c r="J3" s="22"/>
      <c r="K3" s="22"/>
      <c r="L3" s="22"/>
      <c r="M3" s="25"/>
      <c r="N3" s="22"/>
      <c r="O3" s="22"/>
      <c r="P3" s="22"/>
      <c r="Q3" s="137"/>
      <c r="R3" s="71"/>
      <c r="AG3" s="81">
        <v>12</v>
      </c>
      <c r="AH3" s="81">
        <f>COUNTIF(Engine!AL$1:AL$90,AG3)</f>
        <v>57</v>
      </c>
      <c r="AI3" s="163" t="s">
        <v>92</v>
      </c>
    </row>
    <row r="4" spans="1:35" x14ac:dyDescent="0.3">
      <c r="A4" s="49"/>
      <c r="B4" s="39"/>
      <c r="C4" s="172" t="s">
        <v>23</v>
      </c>
      <c r="D4" s="172"/>
      <c r="E4" s="27"/>
      <c r="F4" s="27"/>
      <c r="G4" s="47" t="str">
        <f>IF($AI$23=1,Data!Q3,"Standouts")</f>
        <v>Thursday  AEST</v>
      </c>
      <c r="H4" s="41"/>
      <c r="I4" s="41"/>
      <c r="J4" s="41"/>
      <c r="K4" s="41"/>
      <c r="L4" s="73"/>
      <c r="M4" s="145" t="str">
        <f>IF($AI$23=1,Data!Q7,"Standouts")</f>
        <v>Saturday  AEST</v>
      </c>
      <c r="N4" s="145"/>
      <c r="O4" s="145"/>
      <c r="P4" s="145"/>
      <c r="Q4" s="145"/>
      <c r="R4" s="71"/>
      <c r="AG4" s="81">
        <v>11</v>
      </c>
      <c r="AH4" s="81">
        <f>COUNTIF(Engine!AL$1:AL$90,AG4)</f>
        <v>0</v>
      </c>
      <c r="AI4" s="163" t="s">
        <v>93</v>
      </c>
    </row>
    <row r="5" spans="1:35" x14ac:dyDescent="0.3">
      <c r="A5" s="49"/>
      <c r="B5" s="39"/>
      <c r="C5" s="172"/>
      <c r="D5" s="172"/>
      <c r="E5" s="27"/>
      <c r="F5" s="27"/>
      <c r="G5" s="40"/>
      <c r="H5" s="173"/>
      <c r="I5" s="22"/>
      <c r="J5" s="22"/>
      <c r="K5" s="41"/>
      <c r="L5" s="22"/>
      <c r="M5" s="146"/>
      <c r="N5" s="178"/>
      <c r="O5" s="22"/>
      <c r="P5" s="22"/>
      <c r="Q5" s="145"/>
      <c r="R5" s="71"/>
      <c r="AG5" s="81">
        <v>10</v>
      </c>
      <c r="AH5" s="81">
        <f>COUNTIF(Engine!AL$1:AL$90,AG5)</f>
        <v>0</v>
      </c>
      <c r="AI5" s="163" t="s">
        <v>94</v>
      </c>
    </row>
    <row r="6" spans="1:35" x14ac:dyDescent="0.3">
      <c r="A6" s="26"/>
      <c r="B6" s="57"/>
      <c r="C6" s="30" t="s">
        <v>24</v>
      </c>
      <c r="D6" s="29"/>
      <c r="E6" s="29"/>
      <c r="F6" s="29"/>
      <c r="G6" s="40"/>
      <c r="H6" s="173"/>
      <c r="I6" s="22"/>
      <c r="J6" s="22"/>
      <c r="K6" s="43" t="str">
        <f>ROUND(AE14,1)&amp;"%"</f>
        <v>17.4%</v>
      </c>
      <c r="L6" s="22"/>
      <c r="M6" s="146"/>
      <c r="N6" s="178"/>
      <c r="O6" s="22"/>
      <c r="P6" s="22"/>
      <c r="Q6" s="147" t="str">
        <f>IF(T23&lt;5,"",ROUND(AE10,1)&amp;"%")</f>
        <v>0%</v>
      </c>
      <c r="R6" s="71"/>
      <c r="T6" s="81" t="s">
        <v>25</v>
      </c>
      <c r="U6" s="81" t="s">
        <v>26</v>
      </c>
      <c r="V6" s="81" t="s">
        <v>27</v>
      </c>
      <c r="W6" s="81" t="s">
        <v>28</v>
      </c>
      <c r="X6" s="81" t="s">
        <v>29</v>
      </c>
      <c r="Y6" s="81" t="s">
        <v>30</v>
      </c>
      <c r="Z6" s="81" t="s">
        <v>31</v>
      </c>
      <c r="AA6" s="81" t="s">
        <v>32</v>
      </c>
      <c r="AC6" s="81" t="s">
        <v>33</v>
      </c>
      <c r="AD6" s="81" t="s">
        <v>34</v>
      </c>
      <c r="AE6" s="81" t="s">
        <v>29</v>
      </c>
      <c r="AF6" s="81" t="s">
        <v>30</v>
      </c>
      <c r="AG6" s="81">
        <v>9</v>
      </c>
      <c r="AH6" s="81">
        <f>COUNTIF(Engine!AL$1:AL$90,AG6)</f>
        <v>12</v>
      </c>
    </row>
    <row r="7" spans="1:35" ht="12.75" customHeight="1" x14ac:dyDescent="0.3">
      <c r="A7" s="49"/>
      <c r="B7" s="57"/>
      <c r="C7" s="30" t="s">
        <v>35</v>
      </c>
      <c r="D7" s="29"/>
      <c r="E7" s="27"/>
      <c r="F7" s="27"/>
      <c r="G7" s="74"/>
      <c r="H7" s="173"/>
      <c r="I7" s="73"/>
      <c r="J7" s="73"/>
      <c r="K7" s="72"/>
      <c r="L7" s="22"/>
      <c r="M7" s="146"/>
      <c r="N7" s="178"/>
      <c r="O7" s="73"/>
      <c r="P7" s="73"/>
      <c r="Q7" s="147"/>
      <c r="R7" s="71"/>
      <c r="S7" s="81">
        <v>8</v>
      </c>
      <c r="T7" s="81">
        <f>IF(T23&lt;8,"",COUNTIF(Engine!P1:P90,$AA$24))</f>
        <v>65</v>
      </c>
      <c r="U7" s="81">
        <f>IF(T23&lt;8,"",COUNTIF(Engine!P1:P90,$AA$25))</f>
        <v>4</v>
      </c>
      <c r="V7" s="81">
        <f>IF(T23&lt;8,"",COUNTIF(Engine!Q1:Q90,AA24))</f>
        <v>0</v>
      </c>
      <c r="W7" s="81">
        <f>IF(T23&lt;8,"",COUNTIF(Engine!Q1:Q90,AA25))</f>
        <v>0</v>
      </c>
      <c r="X7" s="81">
        <f>IF(T23&lt;8,"",T7/($V$22)*100)</f>
        <v>94.20289855072464</v>
      </c>
      <c r="Y7" s="81">
        <f>IF(T23&lt;8,"",100-X7)</f>
        <v>5.7971014492753596</v>
      </c>
      <c r="Z7" s="81">
        <f>IF(T23&lt;8,"",V7/$V$23*100)</f>
        <v>0</v>
      </c>
      <c r="AA7" s="81">
        <f>IF(T23&lt;8,"",W7/$V$23*100)</f>
        <v>0</v>
      </c>
      <c r="AC7" s="81">
        <f t="shared" ref="AC7:AD14" si="0">IF($AI$23=1,T7,V7)</f>
        <v>65</v>
      </c>
      <c r="AD7" s="81">
        <f t="shared" si="0"/>
        <v>4</v>
      </c>
      <c r="AE7" s="81">
        <f t="shared" ref="AE7:AF14" si="1">IF($AI$23=1,X7,Z7)</f>
        <v>94.20289855072464</v>
      </c>
      <c r="AF7" s="81">
        <f t="shared" si="1"/>
        <v>5.7971014492753596</v>
      </c>
      <c r="AG7" s="81">
        <v>8</v>
      </c>
      <c r="AH7" s="81">
        <f>COUNTIF(Engine!AL$1:AL$90,AG7)</f>
        <v>0</v>
      </c>
      <c r="AI7" s="163" t="s">
        <v>101</v>
      </c>
    </row>
    <row r="8" spans="1:35" ht="12.75" customHeight="1" x14ac:dyDescent="0.3">
      <c r="A8" s="49"/>
      <c r="B8" s="52"/>
      <c r="C8" s="28"/>
      <c r="D8" s="27"/>
      <c r="E8" s="27"/>
      <c r="F8" s="27"/>
      <c r="G8" s="40"/>
      <c r="H8" s="173"/>
      <c r="I8" s="22"/>
      <c r="J8" s="22"/>
      <c r="K8" s="41"/>
      <c r="L8" s="22"/>
      <c r="M8" s="146"/>
      <c r="N8" s="177"/>
      <c r="O8" s="22"/>
      <c r="P8" s="22"/>
      <c r="Q8" s="147"/>
      <c r="R8" s="174"/>
      <c r="S8" s="81">
        <v>7</v>
      </c>
      <c r="T8" s="81">
        <f>IF(T23&lt;7,"",COUNTIF(Engine!O1:O90,$Z$24))</f>
        <v>51</v>
      </c>
      <c r="U8" s="81">
        <f>IF(T23&lt;7,"",COUNTIF(Engine!O1:O90,$Z$25))</f>
        <v>18</v>
      </c>
      <c r="V8" s="81">
        <f>IF(T23&lt;7,"",COUNTIF(Engine!Q1:Q90,Z24))</f>
        <v>1</v>
      </c>
      <c r="W8" s="81">
        <f>IF(T23&lt;7,"",COUNTIF(Engine!Q1:Q90,Z25))</f>
        <v>0</v>
      </c>
      <c r="X8" s="81">
        <f>IF(T23&lt;7,"",T8/($V$22)*100)</f>
        <v>73.91304347826086</v>
      </c>
      <c r="Y8" s="81">
        <f>IF(T23&lt;7,"",100-X8)</f>
        <v>26.08695652173914</v>
      </c>
      <c r="Z8" s="81">
        <f>IF(T23&lt;7,"",V8/$V$23*100)</f>
        <v>1.4492753623188406</v>
      </c>
      <c r="AA8" s="81">
        <f>IF(T23&lt;7,"",W8/$V$23*100)</f>
        <v>0</v>
      </c>
      <c r="AC8" s="81">
        <f t="shared" si="0"/>
        <v>51</v>
      </c>
      <c r="AD8" s="81">
        <f t="shared" si="0"/>
        <v>18</v>
      </c>
      <c r="AE8" s="81">
        <f t="shared" si="1"/>
        <v>73.91304347826086</v>
      </c>
      <c r="AF8" s="81">
        <f t="shared" si="1"/>
        <v>26.08695652173914</v>
      </c>
      <c r="AG8" s="81">
        <v>7</v>
      </c>
      <c r="AH8" s="81">
        <f>COUNTIF(Engine!AL$1:AL$90,AG8)</f>
        <v>0</v>
      </c>
      <c r="AI8" s="163" t="s">
        <v>91</v>
      </c>
    </row>
    <row r="9" spans="1:35" ht="12.75" customHeight="1" x14ac:dyDescent="0.3">
      <c r="A9" s="49"/>
      <c r="B9" s="52"/>
      <c r="C9" s="28"/>
      <c r="D9" s="27"/>
      <c r="E9" s="27"/>
      <c r="F9" s="27"/>
      <c r="G9" s="40"/>
      <c r="H9" s="173"/>
      <c r="I9" s="22"/>
      <c r="J9" s="22"/>
      <c r="K9" s="43" t="str">
        <f>ROUND(AF14,1)&amp;"%"</f>
        <v>82.6%</v>
      </c>
      <c r="L9" s="70"/>
      <c r="M9" s="146"/>
      <c r="N9" s="177"/>
      <c r="O9" s="22"/>
      <c r="P9" s="22"/>
      <c r="Q9" s="147" t="str">
        <f>IF(T23&lt;5,"",ROUND(AF10,1)&amp;"%")</f>
        <v>100%</v>
      </c>
      <c r="R9" s="174"/>
      <c r="S9" s="81">
        <v>6</v>
      </c>
      <c r="T9" s="81">
        <f>IF(T23&lt;6,"",COUNTIF(Engine!N1:N90,$Y$24))</f>
        <v>8</v>
      </c>
      <c r="U9" s="81">
        <f>IF(T23&lt;6,"",COUNTIF(Engine!N1:N90,$Y$25))</f>
        <v>61</v>
      </c>
      <c r="V9" s="81">
        <f>IF(T23&lt;6,"",COUNTIF(Engine!Q1:Q90,Y24))</f>
        <v>0</v>
      </c>
      <c r="W9" s="81">
        <f>IF(T23&lt;6,"",COUNTIF(Engine!Q1:Q90,Y25))</f>
        <v>0</v>
      </c>
      <c r="X9" s="81">
        <f>IF(T23&lt;6,"",T9/($V$22)*100)</f>
        <v>11.594202898550725</v>
      </c>
      <c r="Y9" s="81">
        <f>IF(T23&lt;6,"",100-X9)</f>
        <v>88.405797101449281</v>
      </c>
      <c r="Z9" s="81">
        <f>IF(T23&lt;6,"",V9/$V$23*100)</f>
        <v>0</v>
      </c>
      <c r="AA9" s="81">
        <f>IF(T23&lt;6,"",W9/$V$23*100)</f>
        <v>0</v>
      </c>
      <c r="AC9" s="81">
        <f t="shared" si="0"/>
        <v>8</v>
      </c>
      <c r="AD9" s="81">
        <f t="shared" si="0"/>
        <v>61</v>
      </c>
      <c r="AE9" s="81">
        <f t="shared" si="1"/>
        <v>11.594202898550725</v>
      </c>
      <c r="AF9" s="81">
        <f t="shared" si="1"/>
        <v>88.405797101449281</v>
      </c>
      <c r="AG9" s="81">
        <v>6</v>
      </c>
      <c r="AH9" s="81">
        <f>COUNTIF(Engine!AL$1:AL$90,AG9)</f>
        <v>0</v>
      </c>
      <c r="AI9" s="163" t="s">
        <v>92</v>
      </c>
    </row>
    <row r="10" spans="1:35" ht="12.75" customHeight="1" x14ac:dyDescent="0.3">
      <c r="A10" s="49"/>
      <c r="B10" s="52"/>
      <c r="C10" s="68" t="s">
        <v>36</v>
      </c>
      <c r="D10" s="53"/>
      <c r="E10" s="53"/>
      <c r="F10" s="27"/>
      <c r="G10" s="40"/>
      <c r="H10" s="173"/>
      <c r="I10" s="22"/>
      <c r="J10" s="22"/>
      <c r="K10" s="41"/>
      <c r="L10" s="23"/>
      <c r="M10" s="146"/>
      <c r="N10" s="177"/>
      <c r="O10" s="22"/>
      <c r="P10" s="22"/>
      <c r="Q10" s="147"/>
      <c r="R10" s="174"/>
      <c r="S10" s="81">
        <v>5</v>
      </c>
      <c r="T10" s="81">
        <f>IF(T23&lt;5,"",COUNTIF(Engine!M1:M90,$X$24))</f>
        <v>0</v>
      </c>
      <c r="U10" s="81">
        <f>IF(T23&lt;5,"",COUNTIF(Engine!M1:M90,$X$25))</f>
        <v>69</v>
      </c>
      <c r="V10" s="81">
        <f>IF(T23&lt;5,"",COUNTIF(Engine!Q1:Q90,X24))</f>
        <v>0</v>
      </c>
      <c r="W10" s="81">
        <f>IF(T23&lt;5,"",COUNTIF(Engine!Q1:Q90,X25))</f>
        <v>28</v>
      </c>
      <c r="X10" s="81">
        <f>IF(T23&lt;5,"",T10/($V$22)*100)</f>
        <v>0</v>
      </c>
      <c r="Y10" s="81">
        <f>IF(T23&lt;5,"",100-X10)</f>
        <v>100</v>
      </c>
      <c r="Z10" s="81">
        <f>IF(T23&lt;5,"",V10/$V$23*100)</f>
        <v>0</v>
      </c>
      <c r="AA10" s="81">
        <f>IF(T23&lt;5,"",W10/$V$23*100)</f>
        <v>40.579710144927539</v>
      </c>
      <c r="AC10" s="81">
        <f t="shared" si="0"/>
        <v>0</v>
      </c>
      <c r="AD10" s="81">
        <f t="shared" si="0"/>
        <v>69</v>
      </c>
      <c r="AE10" s="81">
        <f t="shared" si="1"/>
        <v>0</v>
      </c>
      <c r="AF10" s="81">
        <f t="shared" si="1"/>
        <v>100</v>
      </c>
      <c r="AG10" s="81">
        <v>5</v>
      </c>
      <c r="AH10" s="81">
        <f>COUNTIF(Engine!AL$1:AL$90,AG10)</f>
        <v>0</v>
      </c>
      <c r="AI10" s="163" t="s">
        <v>51</v>
      </c>
    </row>
    <row r="11" spans="1:35" ht="12.75" customHeight="1" x14ac:dyDescent="0.3">
      <c r="A11" s="49"/>
      <c r="B11" s="52"/>
      <c r="C11" s="68"/>
      <c r="D11" s="53"/>
      <c r="E11" s="53"/>
      <c r="F11" s="46"/>
      <c r="G11" s="40"/>
      <c r="H11" s="40"/>
      <c r="I11" s="40"/>
      <c r="J11" s="40"/>
      <c r="K11" s="41"/>
      <c r="L11" s="23"/>
      <c r="M11" s="151"/>
      <c r="N11" s="40"/>
      <c r="O11" s="40"/>
      <c r="P11" s="40"/>
      <c r="Q11" s="153"/>
      <c r="R11" s="174"/>
      <c r="S11" s="81">
        <v>4</v>
      </c>
      <c r="T11" s="81">
        <f>COUNTIF(Engine!L1:L90,$W24)</f>
        <v>63</v>
      </c>
      <c r="U11" s="81">
        <f>COUNTIF(Engine!L1:L90,$W$25)</f>
        <v>6</v>
      </c>
      <c r="V11" s="81">
        <f>COUNTIF(Engine!Q1:Q90,W24)</f>
        <v>9</v>
      </c>
      <c r="W11" s="81">
        <f>COUNTIF(Engine!Q1:Q90,W25)</f>
        <v>0</v>
      </c>
      <c r="X11" s="81">
        <f>T11/($V$22)*100</f>
        <v>91.304347826086953</v>
      </c>
      <c r="Y11" s="81">
        <f>100-X11</f>
        <v>8.6956521739130466</v>
      </c>
      <c r="Z11" s="81">
        <f t="shared" ref="Z11:AA14" si="2">V11/$V$23*100</f>
        <v>13.043478260869565</v>
      </c>
      <c r="AA11" s="81">
        <f t="shared" si="2"/>
        <v>0</v>
      </c>
      <c r="AC11" s="81">
        <f t="shared" si="0"/>
        <v>63</v>
      </c>
      <c r="AD11" s="81">
        <f t="shared" si="0"/>
        <v>6</v>
      </c>
      <c r="AE11" s="81">
        <f t="shared" si="1"/>
        <v>91.304347826086953</v>
      </c>
      <c r="AF11" s="81">
        <f t="shared" si="1"/>
        <v>8.6956521739130466</v>
      </c>
      <c r="AG11" s="81">
        <v>4</v>
      </c>
      <c r="AH11" s="81">
        <f>COUNTIF(Engine!AL$1:AL$90,AG11)</f>
        <v>0</v>
      </c>
      <c r="AI11" s="163" t="s">
        <v>102</v>
      </c>
    </row>
    <row r="12" spans="1:35" x14ac:dyDescent="0.3">
      <c r="A12" s="49"/>
      <c r="B12" s="52"/>
      <c r="C12" s="175" t="s">
        <v>37</v>
      </c>
      <c r="D12" s="175"/>
      <c r="E12" s="175"/>
      <c r="F12" s="46"/>
      <c r="G12" s="23"/>
      <c r="H12" s="64"/>
      <c r="I12" s="69"/>
      <c r="J12" s="69"/>
      <c r="K12" s="23"/>
      <c r="L12" s="23"/>
      <c r="M12" s="148"/>
      <c r="N12" s="64"/>
      <c r="O12" s="69"/>
      <c r="P12" s="69"/>
      <c r="Q12" s="149"/>
      <c r="R12" s="174"/>
      <c r="S12" s="81">
        <v>3</v>
      </c>
      <c r="T12" s="81">
        <f>COUNTIF(Engine!K1:K90,$V$24)</f>
        <v>8</v>
      </c>
      <c r="U12" s="81">
        <f>COUNTIF(Engine!K1:K90,$V$25)</f>
        <v>61</v>
      </c>
      <c r="V12" s="81">
        <f>COUNTIF(Engine!Q1:Q90,V24)</f>
        <v>0</v>
      </c>
      <c r="W12" s="81">
        <f>COUNTIF(Engine!Q1:Q90,V25)</f>
        <v>0</v>
      </c>
      <c r="X12" s="81">
        <f>T12/($V$22)*100</f>
        <v>11.594202898550725</v>
      </c>
      <c r="Y12" s="81">
        <f>100-X12</f>
        <v>88.405797101449281</v>
      </c>
      <c r="Z12" s="81">
        <f t="shared" si="2"/>
        <v>0</v>
      </c>
      <c r="AA12" s="81">
        <f t="shared" si="2"/>
        <v>0</v>
      </c>
      <c r="AC12" s="81">
        <f t="shared" si="0"/>
        <v>8</v>
      </c>
      <c r="AD12" s="81">
        <f t="shared" si="0"/>
        <v>61</v>
      </c>
      <c r="AE12" s="81">
        <f t="shared" si="1"/>
        <v>11.594202898550725</v>
      </c>
      <c r="AF12" s="81">
        <f t="shared" si="1"/>
        <v>88.405797101449281</v>
      </c>
      <c r="AG12" s="81">
        <v>3</v>
      </c>
      <c r="AH12" s="81">
        <f>COUNTIF(Engine!AL$1:AL$90,AG12)</f>
        <v>0</v>
      </c>
      <c r="AI12" s="163" t="s">
        <v>95</v>
      </c>
    </row>
    <row r="13" spans="1:35" ht="12.75" customHeight="1" x14ac:dyDescent="0.3">
      <c r="A13" s="49"/>
      <c r="B13" s="52"/>
      <c r="C13" s="68"/>
      <c r="D13" s="53"/>
      <c r="E13" s="53"/>
      <c r="F13" s="46"/>
      <c r="G13" s="47" t="str">
        <f>IF($AI$23=1,Data!Q4,"")</f>
        <v>Friday  AEST</v>
      </c>
      <c r="H13" s="40"/>
      <c r="I13" s="40"/>
      <c r="J13" s="40"/>
      <c r="K13" s="41"/>
      <c r="L13" s="23"/>
      <c r="M13" s="145" t="str">
        <f>IF($AI$23=1,Data!Q8,"")</f>
        <v>Saturday  AEST</v>
      </c>
      <c r="N13" s="40"/>
      <c r="O13" s="40"/>
      <c r="P13" s="40"/>
      <c r="Q13" s="147"/>
      <c r="R13" s="174"/>
      <c r="S13" s="81">
        <v>2</v>
      </c>
      <c r="T13" s="81">
        <f>COUNTIF(Engine!J1:J90,$U$24)</f>
        <v>68</v>
      </c>
      <c r="U13" s="81">
        <f>COUNTIF(Engine!J1:J90,$U$25)</f>
        <v>1</v>
      </c>
      <c r="V13" s="81">
        <f>COUNTIF(Engine!Q1:Q90,U24)</f>
        <v>30</v>
      </c>
      <c r="W13" s="81">
        <f>COUNTIF(Engine!Q1:Q90,U25)</f>
        <v>0</v>
      </c>
      <c r="X13" s="81">
        <f>T13/($V$22)*100</f>
        <v>98.550724637681171</v>
      </c>
      <c r="Y13" s="81">
        <f>100-X13</f>
        <v>1.4492753623188293</v>
      </c>
      <c r="Z13" s="81">
        <f t="shared" si="2"/>
        <v>43.478260869565219</v>
      </c>
      <c r="AA13" s="81">
        <f t="shared" si="2"/>
        <v>0</v>
      </c>
      <c r="AC13" s="81">
        <f t="shared" si="0"/>
        <v>68</v>
      </c>
      <c r="AD13" s="81">
        <f t="shared" si="0"/>
        <v>1</v>
      </c>
      <c r="AE13" s="81">
        <f t="shared" si="1"/>
        <v>98.550724637681171</v>
      </c>
      <c r="AF13" s="81">
        <f t="shared" si="1"/>
        <v>1.4492753623188293</v>
      </c>
      <c r="AG13" s="81">
        <v>2</v>
      </c>
      <c r="AH13" s="81">
        <f>COUNTIF(Engine!AL$1:AL$90,AG13)</f>
        <v>0</v>
      </c>
      <c r="AI13" s="163" t="s">
        <v>96</v>
      </c>
    </row>
    <row r="14" spans="1:35" ht="12.75" customHeight="1" x14ac:dyDescent="0.3">
      <c r="A14" s="49"/>
      <c r="B14" s="67" t="s">
        <v>19</v>
      </c>
      <c r="C14" s="66"/>
      <c r="D14" s="55"/>
      <c r="E14" s="53"/>
      <c r="F14" s="46"/>
      <c r="G14" s="40"/>
      <c r="H14" s="173"/>
      <c r="I14" s="22"/>
      <c r="J14" s="22"/>
      <c r="K14" s="41"/>
      <c r="L14" s="23"/>
      <c r="M14" s="145"/>
      <c r="N14" s="176"/>
      <c r="O14" s="22"/>
      <c r="P14" s="22"/>
      <c r="Q14" s="147"/>
      <c r="R14" s="6"/>
      <c r="S14" s="81">
        <v>1</v>
      </c>
      <c r="T14" s="81">
        <f>COUNTIF(Engine!I1:I90,$T$24)</f>
        <v>12</v>
      </c>
      <c r="U14" s="81">
        <f>COUNTIF(Engine!I1:I90,$T$25)</f>
        <v>57</v>
      </c>
      <c r="V14" s="81">
        <f>COUNTIF(Engine!Q1:Q90,T24)</f>
        <v>0</v>
      </c>
      <c r="W14" s="81">
        <f>COUNTIF(Engine!Q1:Q90,T25)</f>
        <v>1</v>
      </c>
      <c r="X14" s="81">
        <f>T14/($V$22)*100</f>
        <v>17.391304347826086</v>
      </c>
      <c r="Y14" s="81">
        <f>100-X14</f>
        <v>82.608695652173907</v>
      </c>
      <c r="Z14" s="81">
        <f t="shared" si="2"/>
        <v>0</v>
      </c>
      <c r="AA14" s="81">
        <f t="shared" si="2"/>
        <v>1.4492753623188406</v>
      </c>
      <c r="AC14" s="81">
        <f t="shared" si="0"/>
        <v>12</v>
      </c>
      <c r="AD14" s="81">
        <f t="shared" si="0"/>
        <v>57</v>
      </c>
      <c r="AE14" s="81">
        <f t="shared" si="1"/>
        <v>17.391304347826086</v>
      </c>
      <c r="AF14" s="81">
        <f t="shared" si="1"/>
        <v>82.608695652173907</v>
      </c>
      <c r="AG14" s="81">
        <v>1</v>
      </c>
      <c r="AH14" s="81">
        <f>COUNTIF(Engine!AL$1:AL$90,AG14)</f>
        <v>0</v>
      </c>
      <c r="AI14" s="163" t="s">
        <v>97</v>
      </c>
    </row>
    <row r="15" spans="1:35" ht="12.75" customHeight="1" x14ac:dyDescent="0.3">
      <c r="A15" s="49"/>
      <c r="B15" s="79"/>
      <c r="C15" s="65">
        <f>IF(T$23&gt;7,12,"")</f>
        <v>12</v>
      </c>
      <c r="D15" s="53"/>
      <c r="E15" s="53"/>
      <c r="F15" s="46"/>
      <c r="G15" s="40"/>
      <c r="H15" s="173"/>
      <c r="I15" s="22"/>
      <c r="J15" s="22"/>
      <c r="K15" s="43" t="str">
        <f>ROUND(AE13,1)&amp;"%"</f>
        <v>98.6%</v>
      </c>
      <c r="L15" s="23"/>
      <c r="M15" s="145"/>
      <c r="N15" s="176"/>
      <c r="O15" s="45"/>
      <c r="P15" s="45"/>
      <c r="Q15" s="147" t="str">
        <f>IF(T23&lt;6,"",ROUND(AE9,1)&amp;"%")</f>
        <v>11.6%</v>
      </c>
      <c r="R15" s="174"/>
      <c r="AG15" s="81">
        <v>0</v>
      </c>
      <c r="AH15" s="81">
        <f>COUNTIF(Engine!AL$1:AL$90,AG15)</f>
        <v>0</v>
      </c>
      <c r="AI15" s="163" t="s">
        <v>98</v>
      </c>
    </row>
    <row r="16" spans="1:35" ht="12.75" customHeight="1" x14ac:dyDescent="0.3">
      <c r="A16" s="49"/>
      <c r="B16" s="79"/>
      <c r="C16" s="58" t="str">
        <f>IF(T$23=8,"",IF(T$23&gt;6,11,""))</f>
        <v/>
      </c>
      <c r="D16" s="55"/>
      <c r="E16" s="53"/>
      <c r="F16" s="46"/>
      <c r="G16" s="40"/>
      <c r="H16" s="173"/>
      <c r="I16" s="22"/>
      <c r="J16" s="22"/>
      <c r="K16" s="41"/>
      <c r="L16" s="23"/>
      <c r="M16" s="145"/>
      <c r="N16" s="176"/>
      <c r="O16" s="44"/>
      <c r="P16" s="44"/>
      <c r="Q16" s="147"/>
      <c r="R16" s="174"/>
      <c r="AG16" s="81">
        <v>-1</v>
      </c>
      <c r="AH16" s="81">
        <f>COUNTIF(Engine!AL$1:AL$90,AG16)</f>
        <v>0</v>
      </c>
      <c r="AI16" s="163" t="s">
        <v>99</v>
      </c>
    </row>
    <row r="17" spans="1:36" x14ac:dyDescent="0.3">
      <c r="A17" s="49"/>
      <c r="B17" s="79"/>
      <c r="C17" s="65">
        <f>IF(T$23=7,"",IF(T$23&gt;5,10,""))</f>
        <v>10</v>
      </c>
      <c r="D17" s="53"/>
      <c r="E17" s="53"/>
      <c r="F17" s="46"/>
      <c r="G17" s="40"/>
      <c r="H17" s="173"/>
      <c r="I17" s="22"/>
      <c r="J17" s="22"/>
      <c r="K17" s="41"/>
      <c r="L17" s="23"/>
      <c r="M17" s="145"/>
      <c r="N17" s="173"/>
      <c r="O17" s="22"/>
      <c r="P17" s="22"/>
      <c r="Q17" s="147"/>
      <c r="R17" s="174"/>
      <c r="AG17" s="81">
        <v>-2</v>
      </c>
      <c r="AH17" s="81">
        <f>COUNTIF(Engine!AL$1:AL$90,AG17)</f>
        <v>0</v>
      </c>
      <c r="AI17" s="163" t="s">
        <v>100</v>
      </c>
    </row>
    <row r="18" spans="1:36" x14ac:dyDescent="0.3">
      <c r="A18" s="49"/>
      <c r="B18" s="79"/>
      <c r="C18" s="58">
        <f>IF(T$23=6,"",IF(T$23&gt;4,9,""))</f>
        <v>9</v>
      </c>
      <c r="D18" s="55"/>
      <c r="E18" s="53"/>
      <c r="F18" s="46"/>
      <c r="G18" s="40"/>
      <c r="H18" s="173"/>
      <c r="I18" s="22"/>
      <c r="J18" s="22"/>
      <c r="K18" s="43" t="str">
        <f>ROUND(AF13,1)&amp;"%"</f>
        <v>1.4%</v>
      </c>
      <c r="L18" s="23"/>
      <c r="M18" s="145"/>
      <c r="N18" s="173"/>
      <c r="O18" s="22"/>
      <c r="P18" s="22"/>
      <c r="Q18" s="147" t="str">
        <f>IF(T23&lt;6,"",ROUND(AF9,1)&amp;"%")</f>
        <v>88.4%</v>
      </c>
      <c r="R18" s="174"/>
      <c r="AG18" s="81" t="s">
        <v>38</v>
      </c>
      <c r="AH18" s="81">
        <f>COUNTIF(Engine!AK1:AK90,2)</f>
        <v>57</v>
      </c>
    </row>
    <row r="19" spans="1:36" x14ac:dyDescent="0.3">
      <c r="A19" s="49"/>
      <c r="B19" s="79"/>
      <c r="C19" s="65">
        <f>IF(T$23=5,"",IF(T$23&gt;3,8,""))</f>
        <v>8</v>
      </c>
      <c r="D19" s="53"/>
      <c r="E19" s="53"/>
      <c r="F19" s="46"/>
      <c r="G19" s="40"/>
      <c r="H19" s="173"/>
      <c r="I19" s="22"/>
      <c r="J19" s="22"/>
      <c r="K19" s="41"/>
      <c r="L19" s="23"/>
      <c r="M19" s="145"/>
      <c r="N19" s="173"/>
      <c r="O19" s="22"/>
      <c r="P19" s="22"/>
      <c r="Q19" s="147"/>
      <c r="R19" s="174"/>
      <c r="U19" s="81" t="s">
        <v>105</v>
      </c>
      <c r="V19" s="81">
        <f>30+T23</f>
        <v>38</v>
      </c>
      <c r="AG19" s="81" t="s">
        <v>39</v>
      </c>
      <c r="AH19" s="81">
        <f>V23-AH20-AH21</f>
        <v>69</v>
      </c>
    </row>
    <row r="20" spans="1:36" x14ac:dyDescent="0.3">
      <c r="A20" s="49"/>
      <c r="B20" s="79"/>
      <c r="C20" s="58">
        <f>IF(T$23=4,"",IF(T$23&gt;2,7,""))</f>
        <v>7</v>
      </c>
      <c r="D20" s="55"/>
      <c r="E20" s="53"/>
      <c r="F20" s="46"/>
      <c r="G20" s="40"/>
      <c r="H20" s="40"/>
      <c r="I20" s="40"/>
      <c r="J20" s="40"/>
      <c r="K20" s="41"/>
      <c r="L20" s="23"/>
      <c r="M20" s="152"/>
      <c r="N20" s="40"/>
      <c r="O20" s="40"/>
      <c r="P20" s="40"/>
      <c r="Q20" s="153"/>
      <c r="R20" s="174"/>
      <c r="U20" s="81" t="s">
        <v>104</v>
      </c>
      <c r="V20" s="81" t="str">
        <f>"E31:E"&amp;V19</f>
        <v>E31:E38</v>
      </c>
      <c r="AG20" s="81" t="s">
        <v>40</v>
      </c>
      <c r="AH20" s="81">
        <f>COUNTIF(AF28:AF207,2)</f>
        <v>0</v>
      </c>
    </row>
    <row r="21" spans="1:36" x14ac:dyDescent="0.3">
      <c r="A21" s="49"/>
      <c r="B21" s="80"/>
      <c r="C21" s="60">
        <v>6</v>
      </c>
      <c r="D21" s="50"/>
      <c r="E21" s="50"/>
      <c r="F21" s="46"/>
      <c r="G21" s="23"/>
      <c r="H21" s="64"/>
      <c r="I21" s="22"/>
      <c r="J21" s="22"/>
      <c r="K21" s="23"/>
      <c r="L21" s="45"/>
      <c r="M21" s="148"/>
      <c r="N21" s="64"/>
      <c r="O21" s="22"/>
      <c r="P21" s="22"/>
      <c r="Q21" s="149"/>
      <c r="R21" s="6"/>
      <c r="U21" s="81" t="s">
        <v>41</v>
      </c>
      <c r="V21" s="81">
        <f>Data!S5</f>
        <v>74</v>
      </c>
      <c r="AG21" s="81" t="s">
        <v>42</v>
      </c>
      <c r="AH21" s="81">
        <f>COUNTIF(AF28:AF207,-2)</f>
        <v>0</v>
      </c>
    </row>
    <row r="22" spans="1:36" x14ac:dyDescent="0.3">
      <c r="A22" s="49"/>
      <c r="B22" s="79"/>
      <c r="C22" s="62">
        <v>5</v>
      </c>
      <c r="D22" s="61"/>
      <c r="E22" s="46"/>
      <c r="F22" s="46"/>
      <c r="G22" s="47" t="str">
        <f>IF($AI$23=1,Data!Q5,"")</f>
        <v>Friday  AEST</v>
      </c>
      <c r="H22" s="40"/>
      <c r="I22" s="40"/>
      <c r="J22" s="40"/>
      <c r="K22" s="41"/>
      <c r="L22" s="45"/>
      <c r="M22" s="145" t="str">
        <f>IF(T23=6,"",IF($AI$23=1,Data!Q9,""))</f>
        <v>Sunday  AEST</v>
      </c>
      <c r="N22" s="40"/>
      <c r="O22" s="40"/>
      <c r="P22" s="40"/>
      <c r="Q22" s="147"/>
      <c r="R22" s="174"/>
      <c r="T22" s="81" t="s">
        <v>43</v>
      </c>
      <c r="U22" s="81" t="s">
        <v>44</v>
      </c>
      <c r="V22" s="81">
        <f>Data!S6</f>
        <v>69</v>
      </c>
      <c r="W22" s="81" t="s">
        <v>45</v>
      </c>
      <c r="X22" s="81" t="s">
        <v>46</v>
      </c>
      <c r="Y22" s="81">
        <f>Data!R3</f>
        <v>8</v>
      </c>
    </row>
    <row r="23" spans="1:36" x14ac:dyDescent="0.3">
      <c r="A23" s="49"/>
      <c r="B23" s="79"/>
      <c r="C23" s="63">
        <v>4</v>
      </c>
      <c r="D23" s="27"/>
      <c r="E23" s="46"/>
      <c r="F23" s="46"/>
      <c r="G23" s="40"/>
      <c r="H23" s="173"/>
      <c r="I23" s="22"/>
      <c r="J23" s="22"/>
      <c r="K23" s="41"/>
      <c r="L23" s="23"/>
      <c r="M23" s="145"/>
      <c r="N23" s="176"/>
      <c r="O23" s="22"/>
      <c r="P23" s="22"/>
      <c r="Q23" s="147"/>
      <c r="R23" s="174"/>
      <c r="T23" s="81">
        <f>Data!S3</f>
        <v>8</v>
      </c>
      <c r="U23" s="81" t="s">
        <v>47</v>
      </c>
      <c r="V23" s="81">
        <f>Data!S7</f>
        <v>69</v>
      </c>
      <c r="W23" s="81" t="s">
        <v>48</v>
      </c>
      <c r="AH23" s="81" t="s">
        <v>49</v>
      </c>
      <c r="AI23" s="164">
        <v>1</v>
      </c>
    </row>
    <row r="24" spans="1:36" x14ac:dyDescent="0.3">
      <c r="A24" s="49"/>
      <c r="B24" s="79"/>
      <c r="C24" s="62">
        <v>3</v>
      </c>
      <c r="D24" s="61"/>
      <c r="E24" s="46"/>
      <c r="F24" s="46"/>
      <c r="G24" s="40"/>
      <c r="H24" s="173"/>
      <c r="I24" s="45"/>
      <c r="J24" s="45"/>
      <c r="K24" s="43" t="str">
        <f>ROUND(AE12,1)&amp;"%"</f>
        <v>11.6%</v>
      </c>
      <c r="L24" s="23"/>
      <c r="M24" s="145"/>
      <c r="N24" s="176"/>
      <c r="O24" s="45"/>
      <c r="P24" s="45"/>
      <c r="Q24" s="147" t="str">
        <f>IF(T23&lt;7,"",ROUND(AE8,1)&amp;"%")</f>
        <v>73.9%</v>
      </c>
      <c r="R24" s="174"/>
      <c r="T24" s="81" t="str">
        <f>Data!$O3</f>
        <v>Raiders</v>
      </c>
      <c r="U24" s="81" t="str">
        <f>Data!$O4</f>
        <v>Storm</v>
      </c>
      <c r="V24" s="81" t="str">
        <f>Data!$O5</f>
        <v>Broncos</v>
      </c>
      <c r="W24" s="81" t="str">
        <f>Data!$O6</f>
        <v>Panthers</v>
      </c>
      <c r="X24" s="81" t="str">
        <f>Data!$O7</f>
        <v>Bulldogs</v>
      </c>
      <c r="Y24" s="81" t="str">
        <f>Data!$O8</f>
        <v>Knights</v>
      </c>
      <c r="Z24" s="81" t="str">
        <f>Data!$O9</f>
        <v>Warriors</v>
      </c>
      <c r="AA24" s="81" t="str">
        <f>Data!$O10</f>
        <v>Dragons</v>
      </c>
    </row>
    <row r="25" spans="1:36" x14ac:dyDescent="0.3">
      <c r="A25" s="49"/>
      <c r="B25" s="79"/>
      <c r="C25" s="60">
        <v>2</v>
      </c>
      <c r="D25" s="46"/>
      <c r="E25" s="46"/>
      <c r="F25" s="46"/>
      <c r="G25" s="40"/>
      <c r="H25" s="173"/>
      <c r="I25" s="44"/>
      <c r="J25" s="44"/>
      <c r="K25" s="59"/>
      <c r="L25" s="23"/>
      <c r="M25" s="145"/>
      <c r="N25" s="176"/>
      <c r="O25" s="44"/>
      <c r="P25" s="44"/>
      <c r="Q25" s="147"/>
      <c r="R25" s="174"/>
      <c r="T25" s="81" t="str">
        <f>Data!$P3</f>
        <v>Rabbitohs</v>
      </c>
      <c r="U25" s="81" t="str">
        <f>Data!$P4</f>
        <v>Sharks</v>
      </c>
      <c r="V25" s="81" t="str">
        <f>Data!$P5</f>
        <v>Titans</v>
      </c>
      <c r="W25" s="81" t="str">
        <f>Data!$P6</f>
        <v>Sea Eagles</v>
      </c>
      <c r="X25" s="81" t="str">
        <f>Data!$P7</f>
        <v>Eels</v>
      </c>
      <c r="Y25" s="81" t="str">
        <f>Data!$P8</f>
        <v>Roosters</v>
      </c>
      <c r="Z25" s="81" t="str">
        <f>Data!$P9</f>
        <v>Cowboys</v>
      </c>
      <c r="AA25" s="81" t="str">
        <f>Data!$P10</f>
        <v>Wests Tigers</v>
      </c>
    </row>
    <row r="26" spans="1:36" x14ac:dyDescent="0.3">
      <c r="A26" s="49"/>
      <c r="B26" s="79"/>
      <c r="C26" s="58">
        <v>1</v>
      </c>
      <c r="D26" s="55"/>
      <c r="E26" s="53"/>
      <c r="F26" s="46"/>
      <c r="G26" s="40"/>
      <c r="H26" s="173"/>
      <c r="I26" s="22"/>
      <c r="J26" s="22"/>
      <c r="K26" s="41"/>
      <c r="L26" s="23"/>
      <c r="M26" s="145"/>
      <c r="N26" s="173"/>
      <c r="O26" s="22"/>
      <c r="P26" s="22"/>
      <c r="Q26" s="147"/>
      <c r="R26" s="174"/>
      <c r="T26" s="81" t="str">
        <f>Data!Q3</f>
        <v>Thursday  AEST</v>
      </c>
      <c r="U26" s="81" t="str">
        <f>Data!Q4</f>
        <v>Friday  AEST</v>
      </c>
      <c r="V26" s="81" t="str">
        <f>Data!Q5</f>
        <v>Friday  AEST</v>
      </c>
      <c r="W26" s="81" t="str">
        <f>Data!Q6</f>
        <v>Saturday  AEST</v>
      </c>
      <c r="X26" s="81" t="str">
        <f>Data!Q7</f>
        <v>Saturday  AEST</v>
      </c>
      <c r="Y26" s="81" t="str">
        <f>Data!Q8</f>
        <v>Saturday  AEST</v>
      </c>
      <c r="Z26" s="81" t="str">
        <f>Data!Q9</f>
        <v>Sunday  AEST</v>
      </c>
      <c r="AA26" s="81" t="str">
        <f>Data!Q10</f>
        <v>Sunday  AEST</v>
      </c>
    </row>
    <row r="27" spans="1:36" x14ac:dyDescent="0.3">
      <c r="A27" s="49"/>
      <c r="B27" s="79"/>
      <c r="C27" s="54">
        <v>0</v>
      </c>
      <c r="D27" s="53"/>
      <c r="E27" s="53"/>
      <c r="F27" s="46"/>
      <c r="G27" s="40"/>
      <c r="H27" s="173"/>
      <c r="I27" s="22"/>
      <c r="J27" s="22"/>
      <c r="K27" s="43" t="str">
        <f>ROUND(AF12,1)&amp;"%"</f>
        <v>88.4%</v>
      </c>
      <c r="L27" s="23"/>
      <c r="M27" s="145"/>
      <c r="N27" s="173"/>
      <c r="O27" s="22"/>
      <c r="P27" s="22"/>
      <c r="Q27" s="147" t="str">
        <f>IF(T23&lt;7,"",ROUND(AF8,1)&amp;"%")</f>
        <v>26.1%</v>
      </c>
      <c r="R27" s="174"/>
      <c r="S27" s="81" t="s">
        <v>50</v>
      </c>
      <c r="T27" s="81">
        <v>1</v>
      </c>
      <c r="U27" s="81">
        <v>2</v>
      </c>
      <c r="V27" s="81">
        <v>3</v>
      </c>
      <c r="W27" s="81">
        <v>4</v>
      </c>
      <c r="X27" s="81">
        <v>5</v>
      </c>
      <c r="Y27" s="81">
        <v>6</v>
      </c>
      <c r="Z27" s="81">
        <v>7</v>
      </c>
      <c r="AA27" s="81">
        <v>8</v>
      </c>
      <c r="AB27" s="155" t="s">
        <v>51</v>
      </c>
      <c r="AI27" s="163" t="s">
        <v>52</v>
      </c>
      <c r="AJ27" s="162" t="s">
        <v>53</v>
      </c>
    </row>
    <row r="28" spans="1:36" x14ac:dyDescent="0.3">
      <c r="A28" s="49"/>
      <c r="B28" s="80"/>
      <c r="C28" s="56">
        <v>-1</v>
      </c>
      <c r="D28" s="55"/>
      <c r="E28" s="53"/>
      <c r="F28" s="46"/>
      <c r="G28" s="40"/>
      <c r="H28" s="173"/>
      <c r="I28" s="22"/>
      <c r="J28" s="22"/>
      <c r="K28" s="41"/>
      <c r="L28" s="23"/>
      <c r="M28" s="145"/>
      <c r="N28" s="173"/>
      <c r="O28" s="22"/>
      <c r="P28" s="22"/>
      <c r="Q28" s="145"/>
      <c r="R28" s="6"/>
      <c r="AB28" s="155" t="s">
        <v>84</v>
      </c>
      <c r="AI28" s="163">
        <f>IF(T$23-AG28=AE28,2,0)</f>
        <v>0</v>
      </c>
      <c r="AJ28" s="162" t="str">
        <f>IF(S28="Y",SUM(AE28:AI28),"")</f>
        <v/>
      </c>
    </row>
    <row r="29" spans="1:36" x14ac:dyDescent="0.3">
      <c r="A29" s="22"/>
      <c r="B29" s="79"/>
      <c r="C29" s="54">
        <v>-2</v>
      </c>
      <c r="D29" s="53"/>
      <c r="E29" s="53"/>
      <c r="F29" s="46"/>
      <c r="G29" s="40"/>
      <c r="H29" s="40"/>
      <c r="I29" s="40"/>
      <c r="J29" s="40"/>
      <c r="K29" s="41"/>
      <c r="L29" s="23"/>
      <c r="M29" s="152"/>
      <c r="N29" s="40"/>
      <c r="O29" s="40"/>
      <c r="P29" s="40"/>
      <c r="Q29" s="152"/>
      <c r="R29" s="174"/>
      <c r="AB29" s="155" t="s">
        <v>84</v>
      </c>
    </row>
    <row r="30" spans="1:36" x14ac:dyDescent="0.3">
      <c r="A30" s="22"/>
      <c r="B30" s="52"/>
      <c r="C30" s="51"/>
      <c r="D30" s="46"/>
      <c r="E30" s="50"/>
      <c r="F30" s="46"/>
      <c r="G30" s="23"/>
      <c r="H30" s="26"/>
      <c r="I30" s="49"/>
      <c r="J30" s="49"/>
      <c r="K30" s="23"/>
      <c r="L30" s="23"/>
      <c r="M30" s="148"/>
      <c r="N30" s="26"/>
      <c r="O30" s="49"/>
      <c r="P30" s="49"/>
      <c r="Q30" s="148"/>
      <c r="R30" s="174"/>
      <c r="AB30" s="155" t="s">
        <v>84</v>
      </c>
    </row>
    <row r="31" spans="1:36" x14ac:dyDescent="0.3">
      <c r="A31" s="76"/>
      <c r="B31" s="79">
        <v>1</v>
      </c>
      <c r="C31" s="179" t="s">
        <v>54</v>
      </c>
      <c r="D31" s="180"/>
      <c r="E31" s="48" t="s">
        <v>128</v>
      </c>
      <c r="F31" s="46"/>
      <c r="G31" s="47" t="str">
        <f>IF($AI$23=1,Data!Q6,"")</f>
        <v>Saturday  AEST</v>
      </c>
      <c r="H31" s="40"/>
      <c r="I31" s="40"/>
      <c r="J31" s="40"/>
      <c r="K31" s="41"/>
      <c r="L31" s="23"/>
      <c r="M31" s="145" t="str">
        <f>IF(T23=6,"",IF($AI$23=1,Data!Q10,""))</f>
        <v>Sunday  AEST</v>
      </c>
      <c r="N31" s="40"/>
      <c r="O31" s="40"/>
      <c r="P31" s="40"/>
      <c r="Q31" s="146"/>
      <c r="R31" s="174"/>
    </row>
    <row r="32" spans="1:36" x14ac:dyDescent="0.3">
      <c r="A32" s="76"/>
      <c r="B32" s="79">
        <v>2</v>
      </c>
      <c r="C32" s="179" t="s">
        <v>55</v>
      </c>
      <c r="D32" s="180"/>
      <c r="E32" s="42"/>
      <c r="F32" s="46"/>
      <c r="G32" s="40"/>
      <c r="H32" s="176"/>
      <c r="I32" s="22"/>
      <c r="J32" s="22"/>
      <c r="K32" s="41"/>
      <c r="L32" s="23"/>
      <c r="M32" s="146"/>
      <c r="N32" s="173"/>
      <c r="O32" s="22"/>
      <c r="P32" s="22"/>
      <c r="Q32" s="146"/>
      <c r="R32" s="174"/>
    </row>
    <row r="33" spans="1:253" x14ac:dyDescent="0.3">
      <c r="A33" s="76"/>
      <c r="B33" s="79">
        <v>3</v>
      </c>
      <c r="C33" s="179" t="s">
        <v>56</v>
      </c>
      <c r="D33" s="180"/>
      <c r="E33" s="42"/>
      <c r="F33" s="27"/>
      <c r="G33" s="40"/>
      <c r="H33" s="176"/>
      <c r="I33" s="22"/>
      <c r="J33" s="22"/>
      <c r="K33" s="43" t="str">
        <f>ROUND(AE11,1)&amp;"%"</f>
        <v>91.3%</v>
      </c>
      <c r="L33" s="23"/>
      <c r="M33" s="146"/>
      <c r="N33" s="173"/>
      <c r="O33" s="45"/>
      <c r="P33" s="45"/>
      <c r="Q33" s="150" t="str">
        <f>IF(T23&lt;8,"",ROUND(AE7,1)&amp;"%")</f>
        <v>94.2%</v>
      </c>
      <c r="R33" s="174"/>
    </row>
    <row r="34" spans="1:253" x14ac:dyDescent="0.3">
      <c r="A34" s="76"/>
      <c r="B34" s="79">
        <v>4</v>
      </c>
      <c r="C34" s="179" t="s">
        <v>57</v>
      </c>
      <c r="D34" s="180"/>
      <c r="E34" s="42"/>
      <c r="F34" s="27"/>
      <c r="G34" s="40"/>
      <c r="H34" s="176"/>
      <c r="I34" s="22"/>
      <c r="J34" s="22"/>
      <c r="K34" s="41"/>
      <c r="L34" s="22"/>
      <c r="M34" s="146"/>
      <c r="N34" s="173"/>
      <c r="O34" s="44"/>
      <c r="P34" s="44"/>
      <c r="Q34" s="146"/>
      <c r="R34" s="174"/>
    </row>
    <row r="35" spans="1:253" x14ac:dyDescent="0.3">
      <c r="A35" s="76"/>
      <c r="B35" s="79">
        <v>5</v>
      </c>
      <c r="C35" s="181" t="str">
        <f>IF(T23&lt;5,"","Select Winner - Game 5:")</f>
        <v>Select Winner - Game 5:</v>
      </c>
      <c r="D35" s="181"/>
      <c r="E35" s="42"/>
      <c r="F35" s="27"/>
      <c r="G35" s="40"/>
      <c r="H35" s="173"/>
      <c r="I35" s="22"/>
      <c r="J35" s="22"/>
      <c r="K35" s="41"/>
      <c r="L35" s="22"/>
      <c r="M35" s="146"/>
      <c r="N35" s="176"/>
      <c r="O35" s="22"/>
      <c r="P35" s="22"/>
      <c r="Q35" s="146"/>
      <c r="R35" s="6"/>
    </row>
    <row r="36" spans="1:253" x14ac:dyDescent="0.3">
      <c r="A36" s="76"/>
      <c r="B36" s="79">
        <v>6</v>
      </c>
      <c r="C36" s="181" t="str">
        <f>IF(T23&lt;6,"","Select Winner - Game 6:")</f>
        <v>Select Winner - Game 6:</v>
      </c>
      <c r="D36" s="181"/>
      <c r="E36" s="42"/>
      <c r="F36" s="27"/>
      <c r="G36" s="40"/>
      <c r="H36" s="173"/>
      <c r="I36" s="22"/>
      <c r="J36" s="22"/>
      <c r="K36" s="43" t="str">
        <f>ROUND(AF11,1)&amp;"%"</f>
        <v>8.7%</v>
      </c>
      <c r="L36" s="22"/>
      <c r="M36" s="146"/>
      <c r="N36" s="176"/>
      <c r="O36" s="22"/>
      <c r="P36" s="22"/>
      <c r="Q36" s="150" t="str">
        <f>IF(T23&lt;8,"",ROUND(AF7,1)&amp;"%")</f>
        <v>5.8%</v>
      </c>
      <c r="R36" s="174"/>
    </row>
    <row r="37" spans="1:253" x14ac:dyDescent="0.3">
      <c r="A37" s="76"/>
      <c r="B37" s="79">
        <v>7</v>
      </c>
      <c r="C37" s="181" t="str">
        <f>IF(T23&lt;7,"","Select Winner - Game 7:")</f>
        <v>Select Winner - Game 7:</v>
      </c>
      <c r="D37" s="181"/>
      <c r="E37" s="42"/>
      <c r="F37" s="27"/>
      <c r="G37" s="40"/>
      <c r="H37" s="173"/>
      <c r="I37" s="22"/>
      <c r="J37" s="22"/>
      <c r="K37" s="41"/>
      <c r="L37" s="22"/>
      <c r="M37" s="146"/>
      <c r="N37" s="176"/>
      <c r="O37" s="22"/>
      <c r="P37" s="22"/>
      <c r="Q37" s="146"/>
      <c r="R37" s="174"/>
    </row>
    <row r="38" spans="1:253" x14ac:dyDescent="0.3">
      <c r="A38" s="76"/>
      <c r="B38" s="79">
        <v>8</v>
      </c>
      <c r="C38" s="181" t="str">
        <f>IF(T23&lt;8,"","Select Winner - Game 8:")</f>
        <v>Select Winner - Game 8:</v>
      </c>
      <c r="D38" s="181"/>
      <c r="E38" s="42"/>
      <c r="F38" s="27"/>
      <c r="G38" s="40"/>
      <c r="H38" s="41"/>
      <c r="I38" s="41"/>
      <c r="J38" s="41"/>
      <c r="K38" s="41"/>
      <c r="L38" s="22"/>
      <c r="M38" s="146"/>
      <c r="N38" s="146"/>
      <c r="O38" s="146"/>
      <c r="P38" s="146"/>
      <c r="Q38" s="146"/>
      <c r="R38" s="174"/>
    </row>
    <row r="39" spans="1:253" x14ac:dyDescent="0.3">
      <c r="B39" s="39"/>
      <c r="C39" s="23"/>
      <c r="D39" s="22"/>
      <c r="E39" s="22"/>
      <c r="F39" s="27"/>
      <c r="G39" s="26"/>
      <c r="H39" s="26"/>
      <c r="I39" s="26"/>
      <c r="J39" s="22"/>
      <c r="K39" s="22"/>
      <c r="L39" s="22"/>
      <c r="M39" s="25"/>
      <c r="N39" s="22"/>
      <c r="O39" s="22"/>
      <c r="P39" s="22"/>
      <c r="Q39" s="137"/>
      <c r="R39" s="174"/>
    </row>
    <row r="40" spans="1:253" x14ac:dyDescent="0.3">
      <c r="B40" s="39"/>
      <c r="C40" s="23"/>
      <c r="D40" s="22"/>
      <c r="E40" s="22"/>
      <c r="F40" s="27"/>
      <c r="G40" s="26"/>
      <c r="H40" s="26"/>
      <c r="I40" s="26"/>
      <c r="J40" s="22"/>
      <c r="K40" s="22"/>
      <c r="L40" s="22"/>
      <c r="M40" s="25"/>
      <c r="N40" s="22"/>
      <c r="O40" s="22"/>
      <c r="P40" s="22"/>
      <c r="Q40" s="137"/>
      <c r="R40" s="174"/>
    </row>
    <row r="41" spans="1:253" ht="15" thickBot="1" x14ac:dyDescent="0.35">
      <c r="B41" s="38"/>
      <c r="C41" s="35"/>
      <c r="D41" s="34"/>
      <c r="E41" s="34"/>
      <c r="F41" s="37"/>
      <c r="G41" s="36"/>
      <c r="H41" s="36"/>
      <c r="I41" s="36"/>
      <c r="J41" s="34"/>
      <c r="K41" s="34"/>
      <c r="L41" s="34"/>
      <c r="M41" s="141"/>
      <c r="N41" s="34"/>
      <c r="O41" s="34"/>
      <c r="P41" s="34"/>
      <c r="Q41" s="143"/>
      <c r="R41" s="182"/>
    </row>
    <row r="42" spans="1:253" s="76" customFormat="1" x14ac:dyDescent="0.3">
      <c r="B42" s="144"/>
      <c r="C42" s="33"/>
      <c r="D42" s="144"/>
      <c r="E42" s="144"/>
      <c r="F42" s="144"/>
      <c r="G42" s="165"/>
      <c r="H42" s="165"/>
      <c r="I42" s="165"/>
      <c r="J42" s="144"/>
      <c r="K42" s="144"/>
      <c r="L42" s="144"/>
      <c r="M42" s="32"/>
      <c r="N42" s="144"/>
      <c r="O42" s="144"/>
      <c r="P42" s="144"/>
      <c r="Q42" s="166"/>
      <c r="R42" s="167"/>
      <c r="S42" s="81"/>
      <c r="T42" s="81"/>
      <c r="U42" s="81"/>
      <c r="V42" s="81"/>
      <c r="W42" s="81"/>
      <c r="X42" s="81"/>
      <c r="Y42" s="81"/>
      <c r="Z42" s="81"/>
      <c r="AA42" s="81"/>
      <c r="AB42" s="155"/>
      <c r="AC42" s="81"/>
      <c r="AD42" s="81"/>
      <c r="AE42" s="81"/>
      <c r="AF42" s="81"/>
      <c r="AG42" s="81"/>
      <c r="AH42" s="81"/>
      <c r="AI42" s="168"/>
      <c r="AJ42" s="81"/>
      <c r="AK42" s="169"/>
      <c r="AL42" s="169"/>
      <c r="AM42" s="169"/>
      <c r="AN42" s="169"/>
      <c r="AO42" s="77"/>
      <c r="AP42" s="77"/>
      <c r="AQ42" s="77"/>
    </row>
    <row r="43" spans="1:253" s="76" customFormat="1" x14ac:dyDescent="0.3">
      <c r="B43" s="144"/>
      <c r="C43" s="33" t="str">
        <f>T24</f>
        <v>Raiders</v>
      </c>
      <c r="D43" s="33" t="str">
        <f t="shared" ref="D43:F43" si="3">U24</f>
        <v>Storm</v>
      </c>
      <c r="E43" s="33" t="str">
        <f t="shared" si="3"/>
        <v>Broncos</v>
      </c>
      <c r="F43" s="33" t="str">
        <f t="shared" si="3"/>
        <v>Panthers</v>
      </c>
      <c r="G43" s="33" t="str">
        <f>IF($T$23&gt;4,X24,"")</f>
        <v>Bulldogs</v>
      </c>
      <c r="H43" s="33" t="str">
        <f>IF($T$23&gt;5,Y24,"")</f>
        <v>Knights</v>
      </c>
      <c r="I43" s="33" t="str">
        <f>IF($T$23&gt;6,Z24,"")</f>
        <v>Warriors</v>
      </c>
      <c r="J43" s="33" t="str">
        <f>IF($T$23&gt;7,AA24,"")</f>
        <v>Dragons</v>
      </c>
      <c r="K43" s="144"/>
      <c r="L43" s="144"/>
      <c r="M43" s="32"/>
      <c r="N43" s="144"/>
      <c r="O43" s="144"/>
      <c r="P43" s="144"/>
      <c r="Q43" s="166"/>
      <c r="R43" s="183"/>
      <c r="S43" s="81"/>
      <c r="T43" s="81"/>
      <c r="U43" s="81"/>
      <c r="V43" s="81"/>
      <c r="W43" s="81"/>
      <c r="X43" s="81"/>
      <c r="Y43" s="81"/>
      <c r="Z43" s="81"/>
      <c r="AA43" s="81"/>
      <c r="AB43" s="155"/>
      <c r="AC43" s="81"/>
      <c r="AD43" s="81"/>
      <c r="AE43" s="81"/>
      <c r="AF43" s="81"/>
      <c r="AG43" s="81"/>
      <c r="AH43" s="81"/>
      <c r="AI43" s="168"/>
      <c r="AJ43" s="81"/>
      <c r="AK43" s="169"/>
      <c r="AL43" s="169"/>
      <c r="AM43" s="169"/>
      <c r="AN43" s="169"/>
      <c r="AO43" s="77"/>
      <c r="AP43" s="77"/>
      <c r="AQ43" s="77"/>
    </row>
    <row r="44" spans="1:253" s="76" customFormat="1" x14ac:dyDescent="0.3">
      <c r="B44" s="144"/>
      <c r="C44" s="33" t="str">
        <f t="shared" ref="C44:F44" si="4">T25</f>
        <v>Rabbitohs</v>
      </c>
      <c r="D44" s="33" t="str">
        <f t="shared" si="4"/>
        <v>Sharks</v>
      </c>
      <c r="E44" s="33" t="str">
        <f t="shared" si="4"/>
        <v>Titans</v>
      </c>
      <c r="F44" s="33" t="str">
        <f t="shared" si="4"/>
        <v>Sea Eagles</v>
      </c>
      <c r="G44" s="33" t="str">
        <f t="shared" ref="G44" si="5">IF($T$23&gt;4,X25,"")</f>
        <v>Eels</v>
      </c>
      <c r="H44" s="33" t="str">
        <f t="shared" ref="H44" si="6">IF($T$23&gt;5,Y25,"")</f>
        <v>Roosters</v>
      </c>
      <c r="I44" s="33" t="str">
        <f t="shared" ref="I44" si="7">IF($T$23&gt;6,Z25,"")</f>
        <v>Cowboys</v>
      </c>
      <c r="J44" s="33" t="str">
        <f t="shared" ref="J44" si="8">IF($T$23&gt;7,AA25,"")</f>
        <v>Wests Tigers</v>
      </c>
      <c r="K44" s="144"/>
      <c r="L44" s="144"/>
      <c r="M44" s="32"/>
      <c r="N44" s="144"/>
      <c r="O44" s="144"/>
      <c r="P44" s="144"/>
      <c r="Q44" s="166"/>
      <c r="R44" s="183"/>
      <c r="S44" s="81"/>
      <c r="T44" s="81"/>
      <c r="U44" s="81"/>
      <c r="V44" s="81"/>
      <c r="W44" s="81"/>
      <c r="X44" s="81"/>
      <c r="Y44" s="81"/>
      <c r="Z44" s="81"/>
      <c r="AA44" s="81"/>
      <c r="AB44" s="155"/>
      <c r="AC44" s="81"/>
      <c r="AD44" s="81"/>
      <c r="AE44" s="81"/>
      <c r="AF44" s="81"/>
      <c r="AG44" s="81"/>
      <c r="AH44" s="81"/>
      <c r="AI44" s="168"/>
      <c r="AJ44" s="81"/>
      <c r="AK44" s="169"/>
      <c r="AL44" s="169"/>
      <c r="AM44" s="169"/>
      <c r="AN44" s="169"/>
      <c r="AO44" s="77"/>
      <c r="AP44" s="77"/>
      <c r="AQ44" s="77"/>
    </row>
    <row r="45" spans="1:253" s="76" customFormat="1" x14ac:dyDescent="0.3">
      <c r="B45" s="144"/>
      <c r="C45" s="33" t="s">
        <v>76</v>
      </c>
      <c r="D45" s="33" t="s">
        <v>76</v>
      </c>
      <c r="E45" s="33" t="s">
        <v>76</v>
      </c>
      <c r="F45" s="32" t="str">
        <f>IF($T$23&gt;3,"Draw","")</f>
        <v>Draw</v>
      </c>
      <c r="G45" s="32" t="str">
        <f>IF($T$23&gt;4,"Draw","")</f>
        <v>Draw</v>
      </c>
      <c r="H45" s="32" t="str">
        <f>IF($T$23&gt;5,"Draw","")</f>
        <v>Draw</v>
      </c>
      <c r="I45" s="32" t="str">
        <f>IF($T$23&gt;6,"Draw","")</f>
        <v>Draw</v>
      </c>
      <c r="J45" s="32" t="str">
        <f>IF($T$23&gt;7,"Draw","")</f>
        <v>Draw</v>
      </c>
      <c r="K45" s="144"/>
      <c r="L45" s="144"/>
      <c r="M45" s="32"/>
      <c r="N45" s="144"/>
      <c r="O45" s="144"/>
      <c r="P45" s="144"/>
      <c r="Q45" s="166"/>
      <c r="R45" s="183"/>
      <c r="S45" s="81"/>
      <c r="T45" s="81"/>
      <c r="U45" s="81"/>
      <c r="V45" s="81"/>
      <c r="W45" s="81"/>
      <c r="X45" s="81"/>
      <c r="Y45" s="81"/>
      <c r="Z45" s="81"/>
      <c r="AA45" s="81"/>
      <c r="AB45" s="155"/>
      <c r="AC45" s="81"/>
      <c r="AD45" s="81"/>
      <c r="AE45" s="81"/>
      <c r="AF45" s="81"/>
      <c r="AG45" s="81"/>
      <c r="AH45" s="81"/>
      <c r="AI45" s="168"/>
      <c r="AJ45" s="81"/>
      <c r="AK45" s="169"/>
      <c r="AL45" s="169"/>
      <c r="AM45" s="169"/>
      <c r="AN45" s="169"/>
      <c r="AO45" s="77"/>
      <c r="AP45" s="77"/>
      <c r="AQ45" s="77"/>
      <c r="IS45" s="33"/>
    </row>
    <row r="46" spans="1:253" x14ac:dyDescent="0.3">
      <c r="B46" s="22"/>
      <c r="C46" s="23"/>
      <c r="D46" s="31"/>
      <c r="E46" s="31"/>
      <c r="F46" s="27"/>
      <c r="G46" s="27"/>
      <c r="H46" s="26"/>
      <c r="I46" s="26"/>
      <c r="J46" s="22"/>
      <c r="K46" s="22"/>
      <c r="L46" s="22"/>
      <c r="M46" s="25"/>
      <c r="N46" s="22"/>
      <c r="O46" s="22"/>
      <c r="P46" s="22"/>
      <c r="Q46" s="137"/>
      <c r="R46" s="184"/>
    </row>
    <row r="47" spans="1:253" x14ac:dyDescent="0.3">
      <c r="B47" s="22"/>
      <c r="C47" s="23"/>
      <c r="D47" s="30"/>
      <c r="E47" s="29"/>
      <c r="F47" s="29"/>
      <c r="G47" s="29"/>
      <c r="H47" s="26"/>
      <c r="I47" s="26"/>
      <c r="J47" s="22"/>
      <c r="K47" s="22"/>
      <c r="L47" s="22"/>
      <c r="M47" s="25"/>
      <c r="N47" s="22"/>
      <c r="O47" s="22"/>
      <c r="P47" s="22"/>
      <c r="Q47" s="137"/>
      <c r="R47" s="184"/>
    </row>
    <row r="48" spans="1:253" x14ac:dyDescent="0.3">
      <c r="B48" s="22"/>
      <c r="C48" s="18"/>
      <c r="D48" s="30"/>
      <c r="E48" s="29"/>
      <c r="F48" s="27"/>
      <c r="G48" s="27"/>
      <c r="H48" s="26"/>
      <c r="I48" s="26"/>
      <c r="J48" s="22"/>
      <c r="K48" s="22"/>
      <c r="L48" s="22"/>
      <c r="M48" s="25"/>
      <c r="N48" s="22"/>
      <c r="O48" s="22"/>
      <c r="P48" s="22"/>
      <c r="Q48" s="137"/>
      <c r="R48" s="184"/>
    </row>
    <row r="49" spans="2:18" x14ac:dyDescent="0.3">
      <c r="B49" s="22"/>
      <c r="C49" s="23"/>
      <c r="D49" s="28"/>
      <c r="E49" s="27"/>
      <c r="F49" s="27"/>
      <c r="G49" s="27"/>
      <c r="H49" s="26"/>
      <c r="I49" s="26"/>
      <c r="J49" s="22"/>
      <c r="K49" s="22"/>
      <c r="L49" s="22"/>
      <c r="M49" s="25"/>
      <c r="N49" s="22"/>
      <c r="O49" s="22"/>
      <c r="P49" s="22"/>
      <c r="Q49" s="137"/>
      <c r="R49" s="7"/>
    </row>
    <row r="50" spans="2:18" x14ac:dyDescent="0.3">
      <c r="B50" s="24"/>
      <c r="C50" s="23"/>
      <c r="D50" s="28"/>
      <c r="E50" s="27"/>
      <c r="F50" s="27"/>
      <c r="G50" s="27"/>
      <c r="H50" s="26"/>
      <c r="I50" s="26"/>
      <c r="J50" s="22"/>
      <c r="K50" s="22"/>
      <c r="L50" s="22"/>
      <c r="M50" s="25"/>
      <c r="N50" s="22"/>
      <c r="O50" s="22"/>
      <c r="P50" s="22"/>
      <c r="Q50" s="137"/>
      <c r="R50" s="184"/>
    </row>
    <row r="51" spans="2:18" x14ac:dyDescent="0.3">
      <c r="B51" s="24"/>
      <c r="C51" s="23"/>
      <c r="D51" s="22"/>
      <c r="E51" s="22"/>
      <c r="F51" s="22"/>
      <c r="G51" s="26"/>
      <c r="H51" s="26"/>
      <c r="I51" s="26"/>
      <c r="J51" s="22"/>
      <c r="K51" s="22"/>
      <c r="L51" s="22"/>
      <c r="M51" s="25"/>
      <c r="N51" s="22"/>
      <c r="O51" s="22"/>
      <c r="P51" s="22"/>
      <c r="Q51" s="137"/>
      <c r="R51" s="184"/>
    </row>
    <row r="52" spans="2:18" x14ac:dyDescent="0.3">
      <c r="B52" s="24"/>
      <c r="C52" s="23"/>
      <c r="D52" s="22"/>
      <c r="E52" s="22"/>
      <c r="F52" s="22"/>
      <c r="G52" s="26"/>
      <c r="H52" s="26"/>
      <c r="I52" s="26"/>
      <c r="J52" s="22"/>
      <c r="K52" s="22"/>
      <c r="L52" s="22"/>
      <c r="M52" s="25"/>
      <c r="N52" s="22"/>
      <c r="O52" s="22"/>
      <c r="P52" s="22"/>
      <c r="Q52" s="137"/>
      <c r="R52" s="184"/>
    </row>
    <row r="53" spans="2:18" x14ac:dyDescent="0.3">
      <c r="B53" s="24"/>
      <c r="C53" s="25"/>
      <c r="D53" s="24"/>
      <c r="E53" s="24"/>
      <c r="F53" s="22"/>
      <c r="G53" s="26"/>
      <c r="H53" s="26"/>
      <c r="I53" s="26"/>
      <c r="J53" s="22"/>
      <c r="K53" s="22"/>
      <c r="L53" s="22"/>
      <c r="M53" s="25"/>
      <c r="N53" s="22"/>
      <c r="O53" s="22"/>
      <c r="P53" s="22"/>
      <c r="Q53" s="137"/>
      <c r="R53" s="184"/>
    </row>
    <row r="54" spans="2:18" x14ac:dyDescent="0.3">
      <c r="B54" s="24"/>
      <c r="C54" s="25"/>
      <c r="D54" s="24"/>
      <c r="E54" s="24"/>
      <c r="F54" s="22"/>
      <c r="G54" s="26"/>
      <c r="H54" s="26"/>
      <c r="I54" s="26"/>
      <c r="J54" s="22"/>
      <c r="K54" s="22"/>
      <c r="L54" s="22"/>
      <c r="M54" s="25"/>
      <c r="N54" s="22"/>
      <c r="O54" s="22"/>
      <c r="P54" s="22"/>
      <c r="Q54" s="137"/>
      <c r="R54" s="184"/>
    </row>
    <row r="55" spans="2:18" x14ac:dyDescent="0.3">
      <c r="B55" s="24"/>
      <c r="C55" s="25"/>
      <c r="D55" s="24"/>
      <c r="E55" s="24"/>
      <c r="F55" s="22"/>
      <c r="G55" s="26"/>
      <c r="H55" s="26"/>
      <c r="I55" s="26"/>
      <c r="J55" s="22"/>
      <c r="K55" s="22"/>
      <c r="L55" s="22"/>
      <c r="M55" s="25"/>
      <c r="N55" s="22"/>
      <c r="O55" s="22"/>
      <c r="P55" s="22"/>
      <c r="Q55" s="137"/>
      <c r="R55" s="184"/>
    </row>
    <row r="56" spans="2:18" x14ac:dyDescent="0.3">
      <c r="B56" s="22"/>
      <c r="C56" s="25"/>
      <c r="D56" s="24"/>
      <c r="E56" s="24"/>
      <c r="F56" s="22"/>
      <c r="G56" s="22"/>
      <c r="H56" s="22"/>
      <c r="I56" s="22"/>
      <c r="J56" s="22"/>
      <c r="K56" s="22"/>
      <c r="L56" s="22"/>
      <c r="M56" s="25"/>
      <c r="N56" s="22"/>
      <c r="O56" s="22"/>
      <c r="P56" s="22"/>
      <c r="Q56" s="137"/>
      <c r="R56" s="22"/>
    </row>
    <row r="57" spans="2:18" x14ac:dyDescent="0.3">
      <c r="B57" s="22"/>
      <c r="C57" s="23"/>
      <c r="D57" s="22"/>
      <c r="E57" s="22"/>
      <c r="F57" s="22"/>
      <c r="G57" s="22"/>
      <c r="H57" s="22"/>
      <c r="I57" s="22"/>
      <c r="J57" s="22"/>
      <c r="K57" s="22"/>
      <c r="L57" s="22"/>
      <c r="M57" s="25"/>
      <c r="N57" s="22"/>
      <c r="O57" s="22"/>
      <c r="P57" s="22"/>
      <c r="Q57" s="137"/>
      <c r="R57" s="22"/>
    </row>
    <row r="58" spans="2:18" x14ac:dyDescent="0.3">
      <c r="B58" s="22"/>
      <c r="C58" s="23"/>
      <c r="D58" s="22"/>
      <c r="E58" s="22"/>
      <c r="F58" s="22"/>
      <c r="G58" s="22"/>
      <c r="H58" s="22"/>
      <c r="I58" s="22"/>
      <c r="J58" s="22"/>
      <c r="K58" s="22"/>
      <c r="L58" s="22"/>
      <c r="M58" s="25"/>
      <c r="N58" s="22"/>
      <c r="O58" s="22"/>
      <c r="P58" s="22"/>
      <c r="Q58" s="137"/>
      <c r="R58" s="22"/>
    </row>
    <row r="59" spans="2:18" x14ac:dyDescent="0.3">
      <c r="B59" s="22"/>
      <c r="C59" s="23"/>
      <c r="D59" s="22"/>
      <c r="E59" s="22"/>
      <c r="F59" s="22"/>
      <c r="G59" s="22"/>
      <c r="H59" s="22"/>
      <c r="I59" s="22"/>
      <c r="J59" s="22"/>
      <c r="K59" s="22"/>
      <c r="L59" s="22"/>
      <c r="M59" s="25"/>
      <c r="N59" s="22"/>
      <c r="O59" s="22"/>
      <c r="P59" s="22"/>
      <c r="Q59" s="137"/>
      <c r="R59" s="22"/>
    </row>
    <row r="60" spans="2:18" x14ac:dyDescent="0.3">
      <c r="M60" s="25"/>
      <c r="N60" s="22"/>
      <c r="O60" s="22"/>
      <c r="P60" s="22"/>
      <c r="Q60" s="137"/>
    </row>
  </sheetData>
  <sheetProtection algorithmName="SHA-512" hashValue="3+sCeaphMs4Ze1ZoYDXgp0ZUm6aEMha5L8z5fj34DxysgoQrm/9dBfhRn3goAQN7GdBxtdoiQgtlHW/Ew+vACQ==" saltValue="MLoNv07+GOU6edfuS5tjqA=="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100" priority="87" stopIfTrue="1">
      <formula>$T$23&lt;7</formula>
    </cfRule>
  </conditionalFormatting>
  <conditionalFormatting sqref="K30 G12 K12 G21 K21 G30">
    <cfRule type="expression" dxfId="99" priority="168" stopIfTrue="1">
      <formula>$AI$23=2</formula>
    </cfRule>
  </conditionalFormatting>
  <conditionalFormatting sqref="H13:J13 H20:J20 H31:J31 H29:J29 H22:J22 H11:J11 N11:P11">
    <cfRule type="expression" dxfId="98" priority="174" stopIfTrue="1">
      <formula>$AI$23=2</formula>
    </cfRule>
  </conditionalFormatting>
  <conditionalFormatting sqref="Q12">
    <cfRule type="expression" dxfId="97" priority="61" stopIfTrue="1">
      <formula>$AI$23=2</formula>
    </cfRule>
  </conditionalFormatting>
  <conditionalFormatting sqref="M21">
    <cfRule type="expression" dxfId="96" priority="60" stopIfTrue="1">
      <formula>$AI$23=2</formula>
    </cfRule>
  </conditionalFormatting>
  <conditionalFormatting sqref="Q21">
    <cfRule type="expression" dxfId="95" priority="59" stopIfTrue="1">
      <formula>$AI$23=2</formula>
    </cfRule>
  </conditionalFormatting>
  <conditionalFormatting sqref="M30">
    <cfRule type="expression" dxfId="94" priority="58" stopIfTrue="1">
      <formula>$AI$23=2</formula>
    </cfRule>
  </conditionalFormatting>
  <conditionalFormatting sqref="Q30">
    <cfRule type="expression" dxfId="93" priority="57" stopIfTrue="1">
      <formula>$AI$23=2</formula>
    </cfRule>
  </conditionalFormatting>
  <conditionalFormatting sqref="N13:P13">
    <cfRule type="expression" dxfId="92" priority="23">
      <formula>$T$23&lt;6</formula>
    </cfRule>
    <cfRule type="expression" dxfId="91" priority="56" stopIfTrue="1">
      <formula>$AI$23=2</formula>
    </cfRule>
  </conditionalFormatting>
  <conditionalFormatting sqref="N22:P22">
    <cfRule type="expression" dxfId="90" priority="47">
      <formula>$T$23&lt;7</formula>
    </cfRule>
    <cfRule type="expression" dxfId="89" priority="55" stopIfTrue="1">
      <formula>$AI$23=2</formula>
    </cfRule>
  </conditionalFormatting>
  <conditionalFormatting sqref="N29:P29">
    <cfRule type="expression" dxfId="88" priority="46">
      <formula>$T$23&lt;7</formula>
    </cfRule>
    <cfRule type="expression" dxfId="87" priority="54" stopIfTrue="1">
      <formula>$AI$23=2</formula>
    </cfRule>
  </conditionalFormatting>
  <conditionalFormatting sqref="N31:P31">
    <cfRule type="expression" dxfId="86" priority="53" stopIfTrue="1">
      <formula>$AI$23=2</formula>
    </cfRule>
  </conditionalFormatting>
  <conditionalFormatting sqref="N20:P20">
    <cfRule type="expression" dxfId="85" priority="22">
      <formula>$T$23&lt;6</formula>
    </cfRule>
    <cfRule type="expression" dxfId="84" priority="52" stopIfTrue="1">
      <formula>$AI$23=2</formula>
    </cfRule>
  </conditionalFormatting>
  <conditionalFormatting sqref="M31:P31">
    <cfRule type="expression" dxfId="83" priority="51">
      <formula>$T$23&lt;8</formula>
    </cfRule>
  </conditionalFormatting>
  <conditionalFormatting sqref="M32:M38">
    <cfRule type="expression" dxfId="82" priority="50">
      <formula>$T$23&lt;8</formula>
    </cfRule>
  </conditionalFormatting>
  <conditionalFormatting sqref="M22:M29">
    <cfRule type="expression" dxfId="81" priority="44">
      <formula>$T$23&lt;7</formula>
    </cfRule>
  </conditionalFormatting>
  <conditionalFormatting sqref="M4">
    <cfRule type="expression" dxfId="80" priority="43">
      <formula>$AI$23=2</formula>
    </cfRule>
  </conditionalFormatting>
  <conditionalFormatting sqref="M5:M6">
    <cfRule type="expression" dxfId="79" priority="42">
      <formula>$AI$23=2</formula>
    </cfRule>
  </conditionalFormatting>
  <conditionalFormatting sqref="M7:M11">
    <cfRule type="expression" dxfId="78" priority="40">
      <formula>$AI$23=2</formula>
    </cfRule>
  </conditionalFormatting>
  <conditionalFormatting sqref="M12">
    <cfRule type="expression" dxfId="77" priority="39" stopIfTrue="1">
      <formula>$AI$23=2</formula>
    </cfRule>
  </conditionalFormatting>
  <conditionalFormatting sqref="M22">
    <cfRule type="expression" dxfId="76" priority="32">
      <formula>$AI$23=2</formula>
    </cfRule>
    <cfRule type="expression" dxfId="75" priority="38">
      <formula>$T$23&lt;6</formula>
    </cfRule>
  </conditionalFormatting>
  <conditionalFormatting sqref="M31:M38">
    <cfRule type="expression" dxfId="74" priority="37">
      <formula>$AI$23=2</formula>
    </cfRule>
  </conditionalFormatting>
  <conditionalFormatting sqref="N38:Q38">
    <cfRule type="expression" dxfId="73" priority="36">
      <formula>$T$23&lt;8</formula>
    </cfRule>
  </conditionalFormatting>
  <conditionalFormatting sqref="N38:Q38">
    <cfRule type="expression" dxfId="72" priority="35">
      <formula>$AI$23=2</formula>
    </cfRule>
  </conditionalFormatting>
  <conditionalFormatting sqref="Q31:Q37">
    <cfRule type="expression" dxfId="71" priority="34">
      <formula>$T$23&lt;8</formula>
    </cfRule>
  </conditionalFormatting>
  <conditionalFormatting sqref="Q31:Q37">
    <cfRule type="expression" dxfId="70" priority="33">
      <formula>$AI$23=2</formula>
    </cfRule>
  </conditionalFormatting>
  <conditionalFormatting sqref="M23:M29">
    <cfRule type="expression" dxfId="69" priority="30">
      <formula>$AI$23=2</formula>
    </cfRule>
    <cfRule type="expression" dxfId="68" priority="31">
      <formula>$T$23&lt;6</formula>
    </cfRule>
  </conditionalFormatting>
  <conditionalFormatting sqref="Q22:Q29">
    <cfRule type="expression" dxfId="67" priority="29">
      <formula>$T$23&lt;7</formula>
    </cfRule>
  </conditionalFormatting>
  <conditionalFormatting sqref="Q22:Q29">
    <cfRule type="expression" dxfId="66" priority="27">
      <formula>$AI$23=2</formula>
    </cfRule>
    <cfRule type="expression" dxfId="65" priority="28">
      <formula>$T$23&lt;6</formula>
    </cfRule>
  </conditionalFormatting>
  <conditionalFormatting sqref="M13">
    <cfRule type="expression" dxfId="64" priority="26">
      <formula>$T$23&lt;6</formula>
    </cfRule>
  </conditionalFormatting>
  <conditionalFormatting sqref="M14:M20">
    <cfRule type="expression" dxfId="63" priority="25">
      <formula>$T$23&lt;6</formula>
    </cfRule>
  </conditionalFormatting>
  <conditionalFormatting sqref="M13:M20">
    <cfRule type="expression" dxfId="62" priority="21">
      <formula>$AI$23=2</formula>
    </cfRule>
  </conditionalFormatting>
  <conditionalFormatting sqref="Q13:Q20">
    <cfRule type="expression" dxfId="61" priority="20">
      <formula>$T$23&lt;6</formula>
    </cfRule>
  </conditionalFormatting>
  <conditionalFormatting sqref="Q13:Q20">
    <cfRule type="expression" dxfId="60" priority="19">
      <formula>$AI$23=2</formula>
    </cfRule>
  </conditionalFormatting>
  <conditionalFormatting sqref="M4:M11">
    <cfRule type="expression" dxfId="59" priority="11">
      <formula>$AI$23=2</formula>
    </cfRule>
    <cfRule type="expression" dxfId="58" priority="18">
      <formula>$T$23&lt;5</formula>
    </cfRule>
  </conditionalFormatting>
  <conditionalFormatting sqref="P11">
    <cfRule type="expression" dxfId="57" priority="13">
      <formula>$T$23&lt;5</formula>
    </cfRule>
  </conditionalFormatting>
  <conditionalFormatting sqref="N11:O11">
    <cfRule type="expression" dxfId="56" priority="12">
      <formula>$T$23&lt;5</formula>
    </cfRule>
  </conditionalFormatting>
  <conditionalFormatting sqref="N4:Q4">
    <cfRule type="expression" dxfId="55" priority="10">
      <formula>$AI$23=2</formula>
    </cfRule>
  </conditionalFormatting>
  <conditionalFormatting sqref="N4:Q4">
    <cfRule type="expression" dxfId="54" priority="8">
      <formula>$AI$23=2</formula>
    </cfRule>
    <cfRule type="expression" dxfId="53" priority="9">
      <formula>$T$23&lt;5</formula>
    </cfRule>
  </conditionalFormatting>
  <conditionalFormatting sqref="Q5:Q11">
    <cfRule type="expression" dxfId="52" priority="7">
      <formula>$AI$23=2</formula>
    </cfRule>
  </conditionalFormatting>
  <conditionalFormatting sqref="Q5:Q11">
    <cfRule type="expression" dxfId="51" priority="5">
      <formula>$AI$23=2</formula>
    </cfRule>
    <cfRule type="expression" dxfId="50" priority="6">
      <formula>$T$23&lt;5</formula>
    </cfRule>
  </conditionalFormatting>
  <conditionalFormatting sqref="E38">
    <cfRule type="expression" dxfId="49" priority="4">
      <formula>$T$23&lt;8</formula>
    </cfRule>
  </conditionalFormatting>
  <conditionalFormatting sqref="E37">
    <cfRule type="expression" dxfId="48" priority="3">
      <formula>$T$23&lt;7</formula>
    </cfRule>
  </conditionalFormatting>
  <conditionalFormatting sqref="E36">
    <cfRule type="expression" dxfId="47" priority="2">
      <formula>$T$23&lt;6</formula>
    </cfRule>
  </conditionalFormatting>
  <conditionalFormatting sqref="E35">
    <cfRule type="expression" dxfId="46" priority="1">
      <formula>$T$23&lt;5</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0000"/>
  </sheetPr>
  <dimension ref="A1:AB89"/>
  <sheetViews>
    <sheetView showGridLines="0" showRowColHeaders="0" zoomScaleNormal="100" workbookViewId="0">
      <selection activeCell="C5" sqref="C5"/>
    </sheetView>
  </sheetViews>
  <sheetFormatPr defaultColWidth="8.77734375" defaultRowHeight="14.4" x14ac:dyDescent="0.3"/>
  <cols>
    <col min="1" max="1" width="8.6640625" style="82" customWidth="1"/>
    <col min="2" max="2" width="12.109375" style="84" customWidth="1"/>
    <col min="3" max="3" width="6.33203125" style="84" customWidth="1"/>
    <col min="4" max="4" width="6.6640625" style="84" customWidth="1"/>
    <col min="5" max="5" width="19.109375" style="84" bestFit="1" customWidth="1"/>
    <col min="6" max="6" width="3.44140625" style="85" customWidth="1"/>
    <col min="7" max="7" width="7.77734375" style="86" bestFit="1" customWidth="1"/>
    <col min="8" max="8" width="6.88671875" style="86" customWidth="1"/>
    <col min="9" max="9" width="2.109375" style="87" customWidth="1"/>
    <col min="10" max="10" width="12.21875" style="86" bestFit="1" customWidth="1"/>
    <col min="11" max="11" width="3.44140625" style="88" customWidth="1"/>
    <col min="12" max="12" width="9.21875" style="88" customWidth="1"/>
    <col min="13" max="13" width="3.33203125" style="86" customWidth="1"/>
    <col min="14" max="14" width="9.109375" style="86" customWidth="1"/>
    <col min="15" max="15" width="6.21875" style="103" customWidth="1"/>
    <col min="16" max="16" width="9.21875" style="129" hidden="1" customWidth="1"/>
    <col min="17" max="28" width="8.77734375" style="129" hidden="1" customWidth="1"/>
    <col min="29" max="16384" width="8.77734375" style="89"/>
  </cols>
  <sheetData>
    <row r="1" spans="1:28" ht="79.05" customHeight="1" x14ac:dyDescent="0.3">
      <c r="A1" s="127"/>
      <c r="B1" s="171" t="s">
        <v>150</v>
      </c>
      <c r="C1" s="171"/>
      <c r="D1" s="171"/>
      <c r="E1" s="171"/>
      <c r="F1" s="171"/>
      <c r="G1" s="171"/>
      <c r="H1" s="171"/>
      <c r="I1" s="171"/>
      <c r="J1" s="171"/>
      <c r="K1" s="171"/>
      <c r="L1" s="171"/>
      <c r="M1" s="171"/>
      <c r="N1" s="171"/>
      <c r="O1" s="171"/>
      <c r="P1" s="128"/>
      <c r="Q1" s="128"/>
    </row>
    <row r="2" spans="1:28" ht="21.45" customHeight="1" x14ac:dyDescent="0.3">
      <c r="B2" s="83" t="s">
        <v>22</v>
      </c>
      <c r="G2" s="109" t="s">
        <v>74</v>
      </c>
      <c r="H2" s="110"/>
      <c r="I2" s="111"/>
      <c r="J2" s="110"/>
      <c r="K2" s="112"/>
      <c r="L2" s="112"/>
      <c r="M2" s="110"/>
      <c r="N2" s="110"/>
    </row>
    <row r="3" spans="1:28" x14ac:dyDescent="0.3">
      <c r="B3" s="90" t="s">
        <v>7</v>
      </c>
      <c r="C3" s="186" t="s">
        <v>22</v>
      </c>
      <c r="D3" s="186"/>
      <c r="E3" s="90" t="s">
        <v>8</v>
      </c>
      <c r="G3" s="189" t="s">
        <v>75</v>
      </c>
      <c r="H3" s="189"/>
      <c r="I3" s="111"/>
      <c r="K3" s="113"/>
      <c r="L3" s="189" t="s">
        <v>67</v>
      </c>
      <c r="M3" s="189"/>
      <c r="N3" s="189"/>
      <c r="O3" s="107"/>
      <c r="P3" s="126" t="s">
        <v>9</v>
      </c>
      <c r="Q3" s="126" t="s">
        <v>12</v>
      </c>
      <c r="R3" s="130" t="s">
        <v>14</v>
      </c>
      <c r="S3" s="129" t="s">
        <v>103</v>
      </c>
      <c r="T3" s="129">
        <f>Data!S3</f>
        <v>8</v>
      </c>
    </row>
    <row r="4" spans="1:28" x14ac:dyDescent="0.3">
      <c r="A4" s="82">
        <v>1</v>
      </c>
      <c r="B4" s="2" t="str">
        <f>Data!O3</f>
        <v>Raiders</v>
      </c>
      <c r="C4" s="102">
        <v>20</v>
      </c>
      <c r="D4" s="102">
        <v>34</v>
      </c>
      <c r="E4" s="2" t="str">
        <f>Data!P3</f>
        <v>Rabbitohs</v>
      </c>
      <c r="F4" s="86"/>
      <c r="G4" s="114"/>
      <c r="H4" s="114"/>
      <c r="I4" s="111"/>
      <c r="L4" s="116" t="str">
        <f>IF(P13="","",VLOOKUP($P13,$P13:$AB13,3,FALSE))</f>
        <v/>
      </c>
      <c r="M4" s="118" t="str">
        <f>IF(P13="","",VLOOKUP($P13,$P13:$AB13,4,FALSE))</f>
        <v/>
      </c>
      <c r="N4" s="116" t="str">
        <f>IF(P13="","",VLOOKUP($P13,$P13:$AB13,5,FALSE))</f>
        <v/>
      </c>
      <c r="O4" s="108"/>
      <c r="P4" s="129" t="str">
        <f t="shared" ref="P4:P11" si="0">IF(D4="","",IF(C4&gt;D4,B4,E4))</f>
        <v>Rabbitohs</v>
      </c>
      <c r="Q4" s="129" t="str">
        <f t="shared" ref="Q4:Q11" si="1">IF($D4="","",IF($C4&lt;$D4,$B4,$E4))</f>
        <v>Raiders</v>
      </c>
      <c r="R4" s="130" t="s">
        <v>15</v>
      </c>
      <c r="S4" s="154" t="s">
        <v>105</v>
      </c>
      <c r="T4" s="129">
        <f>3+T3</f>
        <v>11</v>
      </c>
    </row>
    <row r="5" spans="1:28" x14ac:dyDescent="0.3">
      <c r="A5" s="82">
        <v>2</v>
      </c>
      <c r="B5" s="2" t="str">
        <f>Data!O4</f>
        <v>Storm</v>
      </c>
      <c r="C5" s="102"/>
      <c r="D5" s="102"/>
      <c r="E5" s="2" t="str">
        <f>Data!P4</f>
        <v>Sharks</v>
      </c>
      <c r="F5" s="86"/>
      <c r="G5" s="110"/>
      <c r="H5" s="110"/>
      <c r="I5" s="111"/>
      <c r="J5" s="110"/>
      <c r="K5" s="112"/>
      <c r="L5" s="117"/>
      <c r="M5" s="119"/>
      <c r="N5" s="110"/>
      <c r="O5" s="108"/>
      <c r="P5" s="129" t="str">
        <f t="shared" si="0"/>
        <v/>
      </c>
      <c r="Q5" s="129" t="str">
        <f t="shared" si="1"/>
        <v/>
      </c>
      <c r="R5" s="130" t="s">
        <v>16</v>
      </c>
      <c r="S5" s="154" t="s">
        <v>104</v>
      </c>
      <c r="T5" s="129" t="str">
        <f>"C4:D"&amp;T4</f>
        <v>C4:D11</v>
      </c>
    </row>
    <row r="6" spans="1:28" x14ac:dyDescent="0.3">
      <c r="A6" s="82">
        <v>3</v>
      </c>
      <c r="B6" s="2" t="str">
        <f>Data!O5</f>
        <v>Broncos</v>
      </c>
      <c r="C6" s="102"/>
      <c r="D6" s="102"/>
      <c r="E6" s="2" t="str">
        <f>Data!P5</f>
        <v>Titans</v>
      </c>
      <c r="F6" s="86"/>
      <c r="G6" s="188" t="s">
        <v>68</v>
      </c>
      <c r="H6" s="188"/>
      <c r="I6" s="188"/>
      <c r="J6" s="188"/>
      <c r="L6" s="187" t="s">
        <v>72</v>
      </c>
      <c r="M6" s="187"/>
      <c r="N6" s="187"/>
      <c r="O6" s="108"/>
      <c r="P6" s="129" t="str">
        <f t="shared" si="0"/>
        <v/>
      </c>
      <c r="Q6" s="129" t="str">
        <f t="shared" si="1"/>
        <v/>
      </c>
      <c r="R6" s="131" t="s">
        <v>70</v>
      </c>
      <c r="S6" s="132" t="s">
        <v>90</v>
      </c>
      <c r="T6" s="134">
        <v>1</v>
      </c>
    </row>
    <row r="7" spans="1:28" x14ac:dyDescent="0.3">
      <c r="A7" s="82">
        <v>4</v>
      </c>
      <c r="B7" s="2" t="str">
        <f>Data!O6</f>
        <v>Panthers</v>
      </c>
      <c r="C7" s="102"/>
      <c r="D7" s="102"/>
      <c r="E7" s="2" t="str">
        <f>Data!P6</f>
        <v>Sea Eagles</v>
      </c>
      <c r="F7" s="86"/>
      <c r="G7" s="90" t="s">
        <v>18</v>
      </c>
      <c r="H7" s="94" t="s">
        <v>73</v>
      </c>
      <c r="I7" s="94"/>
      <c r="J7" s="90" t="s">
        <v>20</v>
      </c>
      <c r="K7" s="95"/>
      <c r="L7" s="90" t="s">
        <v>0</v>
      </c>
      <c r="M7" s="90"/>
      <c r="N7" s="90" t="s">
        <v>1</v>
      </c>
      <c r="O7" s="108"/>
      <c r="P7" s="132" t="str">
        <f t="shared" si="0"/>
        <v/>
      </c>
      <c r="Q7" s="132" t="str">
        <f t="shared" si="1"/>
        <v/>
      </c>
      <c r="R7" s="131" t="s">
        <v>71</v>
      </c>
    </row>
    <row r="8" spans="1:28" x14ac:dyDescent="0.3">
      <c r="A8" s="82">
        <v>5</v>
      </c>
      <c r="B8" s="2" t="str">
        <f>IF(Data!S$3&lt;'Live Ladder'!$A8,"",Data!O7)</f>
        <v>Bulldogs</v>
      </c>
      <c r="C8" s="102"/>
      <c r="D8" s="102"/>
      <c r="E8" s="2" t="str">
        <f>IF(Data!S$3&lt;'Live Ladder'!$A8,"",Data!P7)</f>
        <v>Eels</v>
      </c>
      <c r="F8" s="86"/>
      <c r="G8" s="120" t="str">
        <f>IF(P13="","",L8-VLOOKUP($P13,Engine!A:R,18,FALSE))</f>
        <v/>
      </c>
      <c r="H8" s="110" t="str">
        <f>IF(P13="","",N8-VLOOKUP($P13,Engine!A:S,19,FALSE))</f>
        <v/>
      </c>
      <c r="I8" s="111"/>
      <c r="J8" s="110" t="str">
        <f>IF(P13="","",IF(U13=0,"",U13))</f>
        <v/>
      </c>
      <c r="K8" s="100" t="str">
        <f>IF(P13="","",IF(COUNTIF(P$4:P$11,J8)=1,R$6,IF(COUNTIF(Q$4:Q$11,J8)=1,R$7,"")))</f>
        <v/>
      </c>
      <c r="L8" s="115" t="str">
        <f>IF(P13="","",Z13)</f>
        <v/>
      </c>
      <c r="M8" s="110"/>
      <c r="N8" s="123" t="str">
        <f>IF(P13="","",AB13)</f>
        <v/>
      </c>
      <c r="O8" s="108"/>
      <c r="P8" s="132" t="str">
        <f t="shared" si="0"/>
        <v/>
      </c>
      <c r="Q8" s="132" t="str">
        <f t="shared" si="1"/>
        <v/>
      </c>
    </row>
    <row r="9" spans="1:28" x14ac:dyDescent="0.3">
      <c r="A9" s="82">
        <v>6</v>
      </c>
      <c r="B9" s="2" t="str">
        <f>IF(Data!S$3&lt;'Live Ladder'!$A9,"",Data!O8)</f>
        <v>Knights</v>
      </c>
      <c r="C9" s="102"/>
      <c r="D9" s="102"/>
      <c r="E9" s="2" t="str">
        <f>IF(Data!S$3&lt;'Live Ladder'!$A9,"",Data!P8)</f>
        <v>Roosters</v>
      </c>
      <c r="F9" s="86"/>
      <c r="G9" s="121"/>
      <c r="H9" s="122"/>
      <c r="I9" s="104"/>
      <c r="J9" s="103"/>
      <c r="K9" s="105"/>
      <c r="L9" s="105"/>
      <c r="M9" s="103"/>
      <c r="N9" s="108"/>
      <c r="O9" s="108"/>
      <c r="P9" s="132" t="str">
        <f t="shared" ref="P9" si="2">IF(D9="","",IF(C9&gt;D9,B9,E9))</f>
        <v/>
      </c>
      <c r="Q9" s="132" t="str">
        <f t="shared" si="1"/>
        <v/>
      </c>
      <c r="S9" s="132"/>
    </row>
    <row r="10" spans="1:28" x14ac:dyDescent="0.3">
      <c r="A10" s="82">
        <v>7</v>
      </c>
      <c r="B10" s="2" t="str">
        <f>IF(Data!S$3&lt;'Live Ladder'!$A10,"",Data!O9)</f>
        <v>Warriors</v>
      </c>
      <c r="C10" s="102"/>
      <c r="D10" s="102"/>
      <c r="E10" s="2" t="str">
        <f>IF(Data!S$3&lt;'Live Ladder'!$A10,"",Data!P9)</f>
        <v>Cowboys</v>
      </c>
      <c r="F10" s="86"/>
      <c r="J10" s="86" t="str">
        <f>IF(J8="No Tips","Tips not submitted","")</f>
        <v/>
      </c>
      <c r="P10" s="132" t="str">
        <f t="shared" si="0"/>
        <v/>
      </c>
      <c r="Q10" s="132" t="str">
        <f t="shared" si="1"/>
        <v/>
      </c>
    </row>
    <row r="11" spans="1:28" x14ac:dyDescent="0.3">
      <c r="A11" s="82">
        <v>8</v>
      </c>
      <c r="B11" s="2" t="str">
        <f>IF(Data!S$3&lt;'Live Ladder'!$A11,"",Data!O10)</f>
        <v>Dragons</v>
      </c>
      <c r="C11" s="102"/>
      <c r="D11" s="102"/>
      <c r="E11" s="2" t="str">
        <f>IF(Data!S$3&lt;'Live Ladder'!$A11,"",Data!P10)</f>
        <v>Wests Tigers</v>
      </c>
      <c r="F11" s="86"/>
      <c r="P11" s="132" t="str">
        <f t="shared" si="0"/>
        <v/>
      </c>
      <c r="Q11" s="132" t="str">
        <f t="shared" si="1"/>
        <v/>
      </c>
      <c r="Z11" s="185" t="s">
        <v>72</v>
      </c>
      <c r="AA11" s="185"/>
      <c r="AB11" s="185"/>
    </row>
    <row r="12" spans="1:28" ht="28.95" customHeight="1" x14ac:dyDescent="0.3">
      <c r="B12" s="83" t="s">
        <v>21</v>
      </c>
      <c r="P12" s="129" t="s">
        <v>87</v>
      </c>
      <c r="Q12" s="129" t="s">
        <v>89</v>
      </c>
      <c r="R12" s="129" t="s">
        <v>85</v>
      </c>
      <c r="S12" s="130" t="s">
        <v>16</v>
      </c>
      <c r="T12" s="129" t="s">
        <v>88</v>
      </c>
      <c r="U12" s="125" t="s">
        <v>20</v>
      </c>
      <c r="V12" s="94"/>
      <c r="W12" s="94"/>
      <c r="X12" s="125" t="s">
        <v>20</v>
      </c>
      <c r="Y12" s="95"/>
      <c r="Z12" s="125" t="s">
        <v>0</v>
      </c>
      <c r="AA12" s="125"/>
      <c r="AB12" s="125" t="s">
        <v>1</v>
      </c>
    </row>
    <row r="13" spans="1:28" x14ac:dyDescent="0.3">
      <c r="B13" s="187" t="s">
        <v>67</v>
      </c>
      <c r="C13" s="187"/>
      <c r="D13" s="187"/>
      <c r="E13" s="91" t="s">
        <v>69</v>
      </c>
      <c r="F13" s="92"/>
      <c r="G13" s="188" t="s">
        <v>68</v>
      </c>
      <c r="H13" s="188"/>
      <c r="I13" s="188"/>
      <c r="J13" s="188"/>
      <c r="K13" s="93"/>
      <c r="L13" s="187" t="s">
        <v>72</v>
      </c>
      <c r="M13" s="187"/>
      <c r="N13" s="187"/>
      <c r="O13" s="106"/>
      <c r="P13" s="133"/>
      <c r="Q13" s="129" t="e">
        <f>VLOOKUP(P13,Engine!A:H,8,FALSE)</f>
        <v>#N/A</v>
      </c>
      <c r="R13" s="129" t="e">
        <f>VLOOKUP($P13,Engine!$A:$E,4,FALSE)</f>
        <v>#N/A</v>
      </c>
      <c r="S13" s="130" t="e">
        <f>VLOOKUP($P13,Engine!$A:$E,5,FALSE)</f>
        <v>#N/A</v>
      </c>
      <c r="T13" s="129" t="e">
        <f>VLOOKUP($P13,Engine!$A:$F,6,FALSE)</f>
        <v>#N/A</v>
      </c>
      <c r="U13" s="129" t="e">
        <f>VLOOKUP(P13,Engine!A:Q,17,FALSE)</f>
        <v>#N/A</v>
      </c>
      <c r="Z13" s="129" t="e">
        <f>VLOOKUP(P13,Engine!$A:$AA,25,FALSE)</f>
        <v>#N/A</v>
      </c>
      <c r="AB13" s="129" t="e">
        <f>VLOOKUP(P13,Engine!$A:$AA,26,FALSE)</f>
        <v>#N/A</v>
      </c>
    </row>
    <row r="14" spans="1:28" x14ac:dyDescent="0.3">
      <c r="B14" s="86"/>
      <c r="G14" s="90" t="s">
        <v>18</v>
      </c>
      <c r="H14" s="94" t="s">
        <v>73</v>
      </c>
      <c r="I14" s="94"/>
      <c r="J14" s="90" t="s">
        <v>20</v>
      </c>
      <c r="K14" s="95"/>
      <c r="L14" s="90" t="s">
        <v>0</v>
      </c>
      <c r="M14" s="90"/>
      <c r="N14" s="90" t="s">
        <v>1</v>
      </c>
      <c r="O14" s="106"/>
    </row>
    <row r="15" spans="1:28" x14ac:dyDescent="0.3">
      <c r="A15" s="96">
        <f>T6</f>
        <v>1</v>
      </c>
      <c r="B15" s="12">
        <f>A15</f>
        <v>1</v>
      </c>
      <c r="C15" s="97" t="str">
        <f>VLOOKUP($A15,Engine!$D:$H,2,FALSE)</f>
        <v>u</v>
      </c>
      <c r="D15" s="98" t="str">
        <f>VLOOKUP($A15,Engine!$D:$H,3,FALSE)</f>
        <v/>
      </c>
      <c r="E15" s="12" t="str">
        <f>VLOOKUP($A15,Engine!$D:$H,5,FALSE)</f>
        <v>Carlos</v>
      </c>
      <c r="F15" s="99"/>
      <c r="G15" s="13">
        <f>L15-VLOOKUP($A15,Engine!$D:$S,15,FALSE)</f>
        <v>1</v>
      </c>
      <c r="H15" s="13">
        <f>N15-VLOOKUP($A15,Engine!$D:$S,16,FALSE)</f>
        <v>34</v>
      </c>
      <c r="I15" s="14"/>
      <c r="J15" s="13" t="str">
        <f>IF(VLOOKUP(E15,Engine!H:Q,10,FALSE)=0,"",VLOOKUP(E15,Engine!H:Q,10,FALSE))</f>
        <v>Eels</v>
      </c>
      <c r="K15" s="100" t="str">
        <f t="shared" ref="K15:K46" si="3">IF(COUNTIF(P$4:P$11,J15)=1,R$6,IF(COUNTIF(Q$4:Q$11,J15)=1,R$7,""))</f>
        <v/>
      </c>
      <c r="L15" s="12">
        <f>VLOOKUP($A15,Engine!$D:$Z,22,FALSE)</f>
        <v>57</v>
      </c>
      <c r="M15" s="101"/>
      <c r="N15" s="12">
        <f>VLOOKUP($A15,Engine!$D:$Z,23,FALSE)</f>
        <v>1577</v>
      </c>
      <c r="O15" s="124"/>
    </row>
    <row r="16" spans="1:28" x14ac:dyDescent="0.3">
      <c r="A16" s="96">
        <f>A15+1</f>
        <v>2</v>
      </c>
      <c r="B16" s="12">
        <f t="shared" ref="B16:B46" si="4">A16</f>
        <v>2</v>
      </c>
      <c r="C16" s="97" t="str">
        <f>VLOOKUP($A16,Engine!$D:$H,2,FALSE)</f>
        <v>u</v>
      </c>
      <c r="D16" s="98" t="str">
        <f>VLOOKUP($A16,Engine!$D:$H,3,FALSE)</f>
        <v/>
      </c>
      <c r="E16" s="12" t="str">
        <f>VLOOKUP($A16,Engine!$D:$H,5,FALSE)</f>
        <v>Yackas</v>
      </c>
      <c r="F16" s="99"/>
      <c r="G16" s="13">
        <f>L16-VLOOKUP($A16,Engine!$D:$S,15,FALSE)</f>
        <v>1</v>
      </c>
      <c r="H16" s="13">
        <f>N16-VLOOKUP($A16,Engine!$D:$S,16,FALSE)</f>
        <v>34</v>
      </c>
      <c r="I16" s="14"/>
      <c r="J16" s="13" t="str">
        <f>IF(VLOOKUP(E16,Engine!H:Q,10,FALSE)=0,"",VLOOKUP(E16,Engine!H:Q,10,FALSE))</f>
        <v>Eels</v>
      </c>
      <c r="K16" s="100" t="str">
        <f t="shared" si="3"/>
        <v/>
      </c>
      <c r="L16" s="12">
        <f>VLOOKUP($A16,Engine!$D:$Z,22,FALSE)</f>
        <v>55</v>
      </c>
      <c r="M16" s="101"/>
      <c r="N16" s="12">
        <f>VLOOKUP($A16,Engine!$D:$Z,23,FALSE)</f>
        <v>1553</v>
      </c>
      <c r="O16" s="124"/>
    </row>
    <row r="17" spans="1:15" s="89" customFormat="1" x14ac:dyDescent="0.3">
      <c r="A17" s="96">
        <f t="shared" ref="A17:A80" si="5">A16+1</f>
        <v>3</v>
      </c>
      <c r="B17" s="12">
        <f t="shared" si="4"/>
        <v>3</v>
      </c>
      <c r="C17" s="97" t="str">
        <f>VLOOKUP($A17,Engine!$D:$H,2,FALSE)</f>
        <v>u</v>
      </c>
      <c r="D17" s="98" t="str">
        <f>VLOOKUP($A17,Engine!$D:$H,3,FALSE)</f>
        <v/>
      </c>
      <c r="E17" s="12" t="str">
        <f>VLOOKUP($A17,Engine!$D:$H,5,FALSE)</f>
        <v>Om786</v>
      </c>
      <c r="F17" s="99"/>
      <c r="G17" s="13">
        <f>L17-VLOOKUP($A17,Engine!$D:$S,15,FALSE)</f>
        <v>1</v>
      </c>
      <c r="H17" s="13">
        <f>N17-VLOOKUP($A17,Engine!$D:$S,16,FALSE)</f>
        <v>34</v>
      </c>
      <c r="I17" s="14"/>
      <c r="J17" s="13" t="str">
        <f>IF(VLOOKUP(E17,Engine!H:Q,10,FALSE)=0,"",VLOOKUP(E17,Engine!H:Q,10,FALSE))</f>
        <v>Storm</v>
      </c>
      <c r="K17" s="100" t="str">
        <f t="shared" si="3"/>
        <v/>
      </c>
      <c r="L17" s="12">
        <f>VLOOKUP($A17,Engine!$D:$Z,22,FALSE)</f>
        <v>55</v>
      </c>
      <c r="M17" s="101"/>
      <c r="N17" s="12">
        <f>VLOOKUP($A17,Engine!$D:$Z,23,FALSE)</f>
        <v>1527</v>
      </c>
      <c r="O17" s="124"/>
    </row>
    <row r="18" spans="1:15" s="89" customFormat="1" x14ac:dyDescent="0.3">
      <c r="A18" s="96">
        <f t="shared" si="5"/>
        <v>4</v>
      </c>
      <c r="B18" s="12">
        <f t="shared" si="4"/>
        <v>4</v>
      </c>
      <c r="C18" s="97" t="str">
        <f>VLOOKUP($A18,Engine!$D:$H,2,FALSE)</f>
        <v>u</v>
      </c>
      <c r="D18" s="98" t="str">
        <f>VLOOKUP($A18,Engine!$D:$H,3,FALSE)</f>
        <v/>
      </c>
      <c r="E18" s="12" t="str">
        <f>VLOOKUP($A18,Engine!$D:$H,5,FALSE)</f>
        <v>786Om</v>
      </c>
      <c r="F18" s="99"/>
      <c r="G18" s="13">
        <f>L18-VLOOKUP($A18,Engine!$D:$S,15,FALSE)</f>
        <v>1</v>
      </c>
      <c r="H18" s="13">
        <f>N18-VLOOKUP($A18,Engine!$D:$S,16,FALSE)</f>
        <v>34</v>
      </c>
      <c r="I18" s="14"/>
      <c r="J18" s="13" t="str">
        <f>IF(VLOOKUP(E18,Engine!H:Q,10,FALSE)=0,"",VLOOKUP(E18,Engine!H:Q,10,FALSE))</f>
        <v>Panthers</v>
      </c>
      <c r="K18" s="100" t="str">
        <f t="shared" si="3"/>
        <v/>
      </c>
      <c r="L18" s="12">
        <f>VLOOKUP($A18,Engine!$D:$Z,22,FALSE)</f>
        <v>55</v>
      </c>
      <c r="M18" s="101"/>
      <c r="N18" s="12">
        <f>VLOOKUP($A18,Engine!$D:$Z,23,FALSE)</f>
        <v>1523</v>
      </c>
      <c r="O18" s="124"/>
    </row>
    <row r="19" spans="1:15" s="89" customFormat="1" x14ac:dyDescent="0.3">
      <c r="A19" s="96">
        <f t="shared" si="5"/>
        <v>5</v>
      </c>
      <c r="B19" s="12">
        <f t="shared" si="4"/>
        <v>5</v>
      </c>
      <c r="C19" s="97" t="str">
        <f>VLOOKUP($A19,Engine!$D:$H,2,FALSE)</f>
        <v>u</v>
      </c>
      <c r="D19" s="98" t="str">
        <f>VLOOKUP($A19,Engine!$D:$H,3,FALSE)</f>
        <v/>
      </c>
      <c r="E19" s="12" t="str">
        <f>VLOOKUP($A19,Engine!$D:$H,5,FALSE)</f>
        <v>MR. TAYLOR</v>
      </c>
      <c r="F19" s="99"/>
      <c r="G19" s="13">
        <f>L19-VLOOKUP($A19,Engine!$D:$S,15,FALSE)</f>
        <v>1</v>
      </c>
      <c r="H19" s="13">
        <f>N19-VLOOKUP($A19,Engine!$D:$S,16,FALSE)</f>
        <v>34</v>
      </c>
      <c r="I19" s="14"/>
      <c r="J19" s="13" t="str">
        <f>IF(VLOOKUP(E19,Engine!H:Q,10,FALSE)=0,"",VLOOKUP(E19,Engine!H:Q,10,FALSE))</f>
        <v>Eels</v>
      </c>
      <c r="K19" s="100" t="str">
        <f t="shared" si="3"/>
        <v/>
      </c>
      <c r="L19" s="12">
        <f>VLOOKUP($A19,Engine!$D:$Z,22,FALSE)</f>
        <v>54</v>
      </c>
      <c r="M19" s="101"/>
      <c r="N19" s="12">
        <f>VLOOKUP($A19,Engine!$D:$Z,23,FALSE)</f>
        <v>1606</v>
      </c>
      <c r="O19" s="106"/>
    </row>
    <row r="20" spans="1:15" s="89" customFormat="1" x14ac:dyDescent="0.3">
      <c r="A20" s="96">
        <f t="shared" si="5"/>
        <v>6</v>
      </c>
      <c r="B20" s="12">
        <f t="shared" si="4"/>
        <v>6</v>
      </c>
      <c r="C20" s="97" t="str">
        <f>VLOOKUP($A20,Engine!$D:$H,2,FALSE)</f>
        <v>u</v>
      </c>
      <c r="D20" s="98" t="str">
        <f>VLOOKUP($A20,Engine!$D:$H,3,FALSE)</f>
        <v/>
      </c>
      <c r="E20" s="12" t="str">
        <f>VLOOKUP($A20,Engine!$D:$H,5,FALSE)</f>
        <v>MJP181</v>
      </c>
      <c r="F20" s="99"/>
      <c r="G20" s="13">
        <f>L20-VLOOKUP($A20,Engine!$D:$S,15,FALSE)</f>
        <v>1</v>
      </c>
      <c r="H20" s="13">
        <f>N20-VLOOKUP($A20,Engine!$D:$S,16,FALSE)</f>
        <v>34</v>
      </c>
      <c r="I20" s="14"/>
      <c r="J20" s="13" t="str">
        <f>IF(VLOOKUP(E20,Engine!H:Q,10,FALSE)=0,"",VLOOKUP(E20,Engine!H:Q,10,FALSE))</f>
        <v>Eels</v>
      </c>
      <c r="K20" s="100" t="str">
        <f t="shared" si="3"/>
        <v/>
      </c>
      <c r="L20" s="12">
        <f>VLOOKUP($A20,Engine!$D:$Z,22,FALSE)</f>
        <v>54</v>
      </c>
      <c r="M20" s="101"/>
      <c r="N20" s="12">
        <f>VLOOKUP($A20,Engine!$D:$Z,23,FALSE)</f>
        <v>1572</v>
      </c>
      <c r="O20" s="106"/>
    </row>
    <row r="21" spans="1:15" s="89" customFormat="1" x14ac:dyDescent="0.3">
      <c r="A21" s="96">
        <f t="shared" si="5"/>
        <v>7</v>
      </c>
      <c r="B21" s="12">
        <f t="shared" si="4"/>
        <v>7</v>
      </c>
      <c r="C21" s="97" t="str">
        <f>VLOOKUP($A21,Engine!$D:$H,2,FALSE)</f>
        <v>u</v>
      </c>
      <c r="D21" s="98" t="str">
        <f>VLOOKUP($A21,Engine!$D:$H,3,FALSE)</f>
        <v/>
      </c>
      <c r="E21" s="12" t="str">
        <f>VLOOKUP($A21,Engine!$D:$H,5,FALSE)</f>
        <v>Panthers29</v>
      </c>
      <c r="F21" s="99"/>
      <c r="G21" s="13">
        <f>L21-VLOOKUP($A21,Engine!$D:$S,15,FALSE)</f>
        <v>1</v>
      </c>
      <c r="H21" s="13">
        <f>N21-VLOOKUP($A21,Engine!$D:$S,16,FALSE)</f>
        <v>34</v>
      </c>
      <c r="I21" s="14"/>
      <c r="J21" s="13" t="str">
        <f>IF(VLOOKUP(E21,Engine!H:Q,10,FALSE)=0,"",VLOOKUP(E21,Engine!H:Q,10,FALSE))</f>
        <v>Storm</v>
      </c>
      <c r="K21" s="100" t="str">
        <f t="shared" si="3"/>
        <v/>
      </c>
      <c r="L21" s="12">
        <f>VLOOKUP($A21,Engine!$D:$Z,22,FALSE)</f>
        <v>54</v>
      </c>
      <c r="M21" s="101"/>
      <c r="N21" s="12">
        <f>VLOOKUP($A21,Engine!$D:$Z,23,FALSE)</f>
        <v>1544</v>
      </c>
      <c r="O21" s="106"/>
    </row>
    <row r="22" spans="1:15" s="89" customFormat="1" x14ac:dyDescent="0.3">
      <c r="A22" s="96">
        <f t="shared" si="5"/>
        <v>8</v>
      </c>
      <c r="B22" s="12">
        <f t="shared" si="4"/>
        <v>8</v>
      </c>
      <c r="C22" s="97" t="str">
        <f>VLOOKUP($A22,Engine!$D:$H,2,FALSE)</f>
        <v>u</v>
      </c>
      <c r="D22" s="98" t="str">
        <f>VLOOKUP($A22,Engine!$D:$H,3,FALSE)</f>
        <v/>
      </c>
      <c r="E22" s="12" t="str">
        <f>VLOOKUP($A22,Engine!$D:$H,5,FALSE)</f>
        <v>Pablo</v>
      </c>
      <c r="F22" s="99"/>
      <c r="G22" s="13">
        <f>L22-VLOOKUP($A22,Engine!$D:$S,15,FALSE)</f>
        <v>1</v>
      </c>
      <c r="H22" s="13">
        <f>N22-VLOOKUP($A22,Engine!$D:$S,16,FALSE)</f>
        <v>34</v>
      </c>
      <c r="I22" s="14"/>
      <c r="J22" s="13" t="str">
        <f>IF(VLOOKUP(E22,Engine!H:Q,10,FALSE)=0,"",VLOOKUP(E22,Engine!H:Q,10,FALSE))</f>
        <v>Storm</v>
      </c>
      <c r="K22" s="100" t="str">
        <f t="shared" si="3"/>
        <v/>
      </c>
      <c r="L22" s="12">
        <f>VLOOKUP($A22,Engine!$D:$Z,22,FALSE)</f>
        <v>54</v>
      </c>
      <c r="M22" s="101"/>
      <c r="N22" s="12">
        <f>VLOOKUP($A22,Engine!$D:$Z,23,FALSE)</f>
        <v>1539</v>
      </c>
      <c r="O22" s="106"/>
    </row>
    <row r="23" spans="1:15" s="89" customFormat="1" x14ac:dyDescent="0.3">
      <c r="A23" s="96">
        <f t="shared" si="5"/>
        <v>9</v>
      </c>
      <c r="B23" s="12">
        <f t="shared" si="4"/>
        <v>9</v>
      </c>
      <c r="C23" s="97" t="str">
        <f>VLOOKUP($A23,Engine!$D:$H,2,FALSE)</f>
        <v>u</v>
      </c>
      <c r="D23" s="98" t="str">
        <f>VLOOKUP($A23,Engine!$D:$H,3,FALSE)</f>
        <v/>
      </c>
      <c r="E23" s="12" t="str">
        <f>VLOOKUP($A23,Engine!$D:$H,5,FALSE)</f>
        <v>Ian from Dublin</v>
      </c>
      <c r="F23" s="99"/>
      <c r="G23" s="13">
        <f>L23-VLOOKUP($A23,Engine!$D:$S,15,FALSE)</f>
        <v>1</v>
      </c>
      <c r="H23" s="13">
        <f>N23-VLOOKUP($A23,Engine!$D:$S,16,FALSE)</f>
        <v>34</v>
      </c>
      <c r="I23" s="14"/>
      <c r="J23" s="13" t="str">
        <f>IF(VLOOKUP(E23,Engine!H:Q,10,FALSE)=0,"",VLOOKUP(E23,Engine!H:Q,10,FALSE))</f>
        <v>Eels</v>
      </c>
      <c r="K23" s="100" t="str">
        <f t="shared" si="3"/>
        <v/>
      </c>
      <c r="L23" s="12">
        <f>VLOOKUP($A23,Engine!$D:$Z,22,FALSE)</f>
        <v>54</v>
      </c>
      <c r="M23" s="101"/>
      <c r="N23" s="12">
        <f>VLOOKUP($A23,Engine!$D:$Z,23,FALSE)</f>
        <v>1533</v>
      </c>
      <c r="O23" s="106"/>
    </row>
    <row r="24" spans="1:15" s="89" customFormat="1" x14ac:dyDescent="0.3">
      <c r="A24" s="96">
        <f t="shared" si="5"/>
        <v>10</v>
      </c>
      <c r="B24" s="12">
        <f t="shared" si="4"/>
        <v>10</v>
      </c>
      <c r="C24" s="97" t="str">
        <f>VLOOKUP($A24,Engine!$D:$H,2,FALSE)</f>
        <v>u</v>
      </c>
      <c r="D24" s="98" t="str">
        <f>VLOOKUP($A24,Engine!$D:$H,3,FALSE)</f>
        <v/>
      </c>
      <c r="E24" s="12" t="str">
        <f>VLOOKUP($A24,Engine!$D:$H,5,FALSE)</f>
        <v>Kane G</v>
      </c>
      <c r="F24" s="99"/>
      <c r="G24" s="13">
        <f>L24-VLOOKUP($A24,Engine!$D:$S,15,FALSE)</f>
        <v>1</v>
      </c>
      <c r="H24" s="13">
        <f>N24-VLOOKUP($A24,Engine!$D:$S,16,FALSE)</f>
        <v>34</v>
      </c>
      <c r="I24" s="14"/>
      <c r="J24" s="13" t="str">
        <f>IF(VLOOKUP(E24,Engine!H:Q,10,FALSE)=0,"",VLOOKUP(E24,Engine!H:Q,10,FALSE))</f>
        <v>Eels</v>
      </c>
      <c r="K24" s="100" t="str">
        <f t="shared" si="3"/>
        <v/>
      </c>
      <c r="L24" s="12">
        <f>VLOOKUP($A24,Engine!$D:$Z,22,FALSE)</f>
        <v>54</v>
      </c>
      <c r="M24" s="101"/>
      <c r="N24" s="12">
        <f>VLOOKUP($A24,Engine!$D:$Z,23,FALSE)</f>
        <v>1524</v>
      </c>
      <c r="O24" s="106"/>
    </row>
    <row r="25" spans="1:15" s="89" customFormat="1" x14ac:dyDescent="0.3">
      <c r="A25" s="96">
        <f t="shared" si="5"/>
        <v>11</v>
      </c>
      <c r="B25" s="12">
        <f t="shared" si="4"/>
        <v>11</v>
      </c>
      <c r="C25" s="97" t="str">
        <f>VLOOKUP($A25,Engine!$D:$H,2,FALSE)</f>
        <v>u</v>
      </c>
      <c r="D25" s="98" t="str">
        <f>VLOOKUP($A25,Engine!$D:$H,3,FALSE)</f>
        <v/>
      </c>
      <c r="E25" s="12" t="str">
        <f>VLOOKUP($A25,Engine!$D:$H,5,FALSE)</f>
        <v>Admireel</v>
      </c>
      <c r="F25" s="99"/>
      <c r="G25" s="13">
        <f>L25-VLOOKUP($A25,Engine!$D:$S,15,FALSE)</f>
        <v>1</v>
      </c>
      <c r="H25" s="13">
        <f>N25-VLOOKUP($A25,Engine!$D:$S,16,FALSE)</f>
        <v>34</v>
      </c>
      <c r="I25" s="14"/>
      <c r="J25" s="13" t="str">
        <f>IF(VLOOKUP(E25,Engine!H:Q,10,FALSE)=0,"",VLOOKUP(E25,Engine!H:Q,10,FALSE))</f>
        <v>Storm</v>
      </c>
      <c r="K25" s="100" t="str">
        <f t="shared" si="3"/>
        <v/>
      </c>
      <c r="L25" s="12">
        <f>VLOOKUP($A25,Engine!$D:$Z,22,FALSE)</f>
        <v>53</v>
      </c>
      <c r="M25" s="101"/>
      <c r="N25" s="12">
        <f>VLOOKUP($A25,Engine!$D:$Z,23,FALSE)</f>
        <v>1588</v>
      </c>
      <c r="O25" s="106"/>
    </row>
    <row r="26" spans="1:15" s="89" customFormat="1" x14ac:dyDescent="0.3">
      <c r="A26" s="96">
        <f t="shared" si="5"/>
        <v>12</v>
      </c>
      <c r="B26" s="12">
        <f t="shared" si="4"/>
        <v>12</v>
      </c>
      <c r="C26" s="97" t="str">
        <f>VLOOKUP($A26,Engine!$D:$H,2,FALSE)</f>
        <v>u</v>
      </c>
      <c r="D26" s="98" t="str">
        <f>VLOOKUP($A26,Engine!$D:$H,3,FALSE)</f>
        <v/>
      </c>
      <c r="E26" s="12" t="str">
        <f>VLOOKUP($A26,Engine!$D:$H,5,FALSE)</f>
        <v>Micrider</v>
      </c>
      <c r="F26" s="99"/>
      <c r="G26" s="13">
        <f>L26-VLOOKUP($A26,Engine!$D:$S,15,FALSE)</f>
        <v>1</v>
      </c>
      <c r="H26" s="13">
        <f>N26-VLOOKUP($A26,Engine!$D:$S,16,FALSE)</f>
        <v>34</v>
      </c>
      <c r="I26" s="14"/>
      <c r="J26" s="13" t="str">
        <f>IF(VLOOKUP(E26,Engine!H:Q,10,FALSE)=0,"",VLOOKUP(E26,Engine!H:Q,10,FALSE))</f>
        <v>Storm</v>
      </c>
      <c r="K26" s="100" t="str">
        <f t="shared" si="3"/>
        <v/>
      </c>
      <c r="L26" s="12">
        <f>VLOOKUP($A26,Engine!$D:$Z,22,FALSE)</f>
        <v>53</v>
      </c>
      <c r="M26" s="101"/>
      <c r="N26" s="12">
        <f>VLOOKUP($A26,Engine!$D:$Z,23,FALSE)</f>
        <v>1528</v>
      </c>
      <c r="O26" s="106"/>
    </row>
    <row r="27" spans="1:15" s="89" customFormat="1" x14ac:dyDescent="0.3">
      <c r="A27" s="96">
        <f t="shared" si="5"/>
        <v>13</v>
      </c>
      <c r="B27" s="12">
        <f t="shared" si="4"/>
        <v>13</v>
      </c>
      <c r="C27" s="97" t="str">
        <f>VLOOKUP($A27,Engine!$D:$H,2,FALSE)</f>
        <v>p</v>
      </c>
      <c r="D27" s="98">
        <f>VLOOKUP($A27,Engine!$D:$H,3,FALSE)</f>
        <v>1</v>
      </c>
      <c r="E27" s="12" t="str">
        <f>VLOOKUP($A27,Engine!$D:$H,5,FALSE)</f>
        <v>Krusty</v>
      </c>
      <c r="F27" s="99"/>
      <c r="G27" s="13">
        <f>L27-VLOOKUP($A27,Engine!$D:$S,15,FALSE)</f>
        <v>1</v>
      </c>
      <c r="H27" s="13">
        <f>N27-VLOOKUP($A27,Engine!$D:$S,16,FALSE)</f>
        <v>34</v>
      </c>
      <c r="I27" s="14"/>
      <c r="J27" s="13" t="str">
        <f>IF(VLOOKUP(E27,Engine!H:Q,10,FALSE)=0,"",VLOOKUP(E27,Engine!H:Q,10,FALSE))</f>
        <v>Panthers</v>
      </c>
      <c r="K27" s="100" t="str">
        <f t="shared" si="3"/>
        <v/>
      </c>
      <c r="L27" s="12">
        <f>VLOOKUP($A27,Engine!$D:$Z,22,FALSE)</f>
        <v>52</v>
      </c>
      <c r="M27" s="101"/>
      <c r="N27" s="12">
        <f>VLOOKUP($A27,Engine!$D:$Z,23,FALSE)</f>
        <v>1518</v>
      </c>
      <c r="O27" s="106"/>
    </row>
    <row r="28" spans="1:15" s="89" customFormat="1" x14ac:dyDescent="0.3">
      <c r="A28" s="96">
        <f t="shared" si="5"/>
        <v>14</v>
      </c>
      <c r="B28" s="12">
        <f t="shared" si="4"/>
        <v>14</v>
      </c>
      <c r="C28" s="97" t="str">
        <f>VLOOKUP($A28,Engine!$D:$H,2,FALSE)</f>
        <v>p</v>
      </c>
      <c r="D28" s="98">
        <f>VLOOKUP($A28,Engine!$D:$H,3,FALSE)</f>
        <v>1</v>
      </c>
      <c r="E28" s="12" t="str">
        <f>VLOOKUP($A28,Engine!$D:$H,5,FALSE)</f>
        <v>Kauboi</v>
      </c>
      <c r="F28" s="99"/>
      <c r="G28" s="13">
        <f>L28-VLOOKUP($A28,Engine!$D:$S,15,FALSE)</f>
        <v>1</v>
      </c>
      <c r="H28" s="13">
        <f>N28-VLOOKUP($A28,Engine!$D:$S,16,FALSE)</f>
        <v>34</v>
      </c>
      <c r="I28" s="14"/>
      <c r="J28" s="13" t="str">
        <f>IF(VLOOKUP(E28,Engine!H:Q,10,FALSE)=0,"",VLOOKUP(E28,Engine!H:Q,10,FALSE))</f>
        <v>Storm</v>
      </c>
      <c r="K28" s="100" t="str">
        <f t="shared" si="3"/>
        <v/>
      </c>
      <c r="L28" s="12">
        <f>VLOOKUP($A28,Engine!$D:$Z,22,FALSE)</f>
        <v>52</v>
      </c>
      <c r="M28" s="101"/>
      <c r="N28" s="12">
        <f>VLOOKUP($A28,Engine!$D:$Z,23,FALSE)</f>
        <v>1484</v>
      </c>
      <c r="O28" s="106"/>
    </row>
    <row r="29" spans="1:15" s="89" customFormat="1" x14ac:dyDescent="0.3">
      <c r="A29" s="96">
        <f t="shared" si="5"/>
        <v>15</v>
      </c>
      <c r="B29" s="12">
        <f t="shared" si="4"/>
        <v>15</v>
      </c>
      <c r="C29" s="97" t="str">
        <f>VLOOKUP($A29,Engine!$D:$H,2,FALSE)</f>
        <v>p</v>
      </c>
      <c r="D29" s="98">
        <f>VLOOKUP($A29,Engine!$D:$H,3,FALSE)</f>
        <v>3</v>
      </c>
      <c r="E29" s="12" t="str">
        <f>VLOOKUP($A29,Engine!$D:$H,5,FALSE)</f>
        <v>The Creator</v>
      </c>
      <c r="F29" s="99"/>
      <c r="G29" s="13">
        <f>L29-VLOOKUP($A29,Engine!$D:$S,15,FALSE)</f>
        <v>1</v>
      </c>
      <c r="H29" s="13">
        <f>N29-VLOOKUP($A29,Engine!$D:$S,16,FALSE)</f>
        <v>34</v>
      </c>
      <c r="I29" s="14"/>
      <c r="J29" s="13" t="str">
        <f>IF(VLOOKUP(E29,Engine!H:Q,10,FALSE)=0,"",VLOOKUP(E29,Engine!H:Q,10,FALSE))</f>
        <v>Eels</v>
      </c>
      <c r="K29" s="100" t="str">
        <f t="shared" si="3"/>
        <v/>
      </c>
      <c r="L29" s="12">
        <f>VLOOKUP($A29,Engine!$D:$Z,22,FALSE)</f>
        <v>51</v>
      </c>
      <c r="M29" s="101"/>
      <c r="N29" s="12">
        <f>VLOOKUP($A29,Engine!$D:$Z,23,FALSE)</f>
        <v>1571</v>
      </c>
      <c r="O29" s="106"/>
    </row>
    <row r="30" spans="1:15" s="89" customFormat="1" x14ac:dyDescent="0.3">
      <c r="A30" s="96">
        <f t="shared" si="5"/>
        <v>16</v>
      </c>
      <c r="B30" s="12">
        <f t="shared" si="4"/>
        <v>16</v>
      </c>
      <c r="C30" s="97" t="str">
        <f>VLOOKUP($A30,Engine!$D:$H,2,FALSE)</f>
        <v>p</v>
      </c>
      <c r="D30" s="98">
        <f>VLOOKUP($A30,Engine!$D:$H,3,FALSE)</f>
        <v>3</v>
      </c>
      <c r="E30" s="12" t="str">
        <f>VLOOKUP($A30,Engine!$D:$H,5,FALSE)</f>
        <v>Big Baba</v>
      </c>
      <c r="F30" s="99"/>
      <c r="G30" s="13">
        <f>L30-VLOOKUP($A30,Engine!$D:$S,15,FALSE)</f>
        <v>1</v>
      </c>
      <c r="H30" s="13">
        <f>N30-VLOOKUP($A30,Engine!$D:$S,16,FALSE)</f>
        <v>34</v>
      </c>
      <c r="I30" s="14"/>
      <c r="J30" s="13" t="str">
        <f>IF(VLOOKUP(E30,Engine!H:Q,10,FALSE)=0,"",VLOOKUP(E30,Engine!H:Q,10,FALSE))</f>
        <v>Storm</v>
      </c>
      <c r="K30" s="100" t="str">
        <f t="shared" si="3"/>
        <v/>
      </c>
      <c r="L30" s="12">
        <f>VLOOKUP($A30,Engine!$D:$Z,22,FALSE)</f>
        <v>51</v>
      </c>
      <c r="M30" s="101"/>
      <c r="N30" s="12">
        <f>VLOOKUP($A30,Engine!$D:$Z,23,FALSE)</f>
        <v>1570</v>
      </c>
      <c r="O30" s="106"/>
    </row>
    <row r="31" spans="1:15" s="89" customFormat="1" x14ac:dyDescent="0.3">
      <c r="A31" s="96">
        <f t="shared" si="5"/>
        <v>17</v>
      </c>
      <c r="B31" s="12">
        <f t="shared" si="4"/>
        <v>17</v>
      </c>
      <c r="C31" s="97" t="str">
        <f>VLOOKUP($A31,Engine!$D:$H,2,FALSE)</f>
        <v>p</v>
      </c>
      <c r="D31" s="98">
        <f>VLOOKUP($A31,Engine!$D:$H,3,FALSE)</f>
        <v>3</v>
      </c>
      <c r="E31" s="12" t="str">
        <f>VLOOKUP($A31,Engine!$D:$H,5,FALSE)</f>
        <v>Offside_Touchie</v>
      </c>
      <c r="F31" s="99"/>
      <c r="G31" s="13">
        <f>L31-VLOOKUP($A31,Engine!$D:$S,15,FALSE)</f>
        <v>1</v>
      </c>
      <c r="H31" s="13">
        <f>N31-VLOOKUP($A31,Engine!$D:$S,16,FALSE)</f>
        <v>34</v>
      </c>
      <c r="I31" s="14"/>
      <c r="J31" s="13" t="str">
        <f>IF(VLOOKUP(E31,Engine!H:Q,10,FALSE)=0,"",VLOOKUP(E31,Engine!H:Q,10,FALSE))</f>
        <v>Storm</v>
      </c>
      <c r="K31" s="100" t="str">
        <f t="shared" si="3"/>
        <v/>
      </c>
      <c r="L31" s="12">
        <f>VLOOKUP($A31,Engine!$D:$Z,22,FALSE)</f>
        <v>51</v>
      </c>
      <c r="M31" s="101"/>
      <c r="N31" s="12">
        <f>VLOOKUP($A31,Engine!$D:$Z,23,FALSE)</f>
        <v>1566</v>
      </c>
      <c r="O31" s="106"/>
    </row>
    <row r="32" spans="1:15" s="89" customFormat="1" x14ac:dyDescent="0.3">
      <c r="A32" s="96">
        <f t="shared" si="5"/>
        <v>18</v>
      </c>
      <c r="B32" s="12">
        <f t="shared" si="4"/>
        <v>18</v>
      </c>
      <c r="C32" s="97" t="str">
        <f>VLOOKUP($A32,Engine!$D:$H,2,FALSE)</f>
        <v>q</v>
      </c>
      <c r="D32" s="98">
        <f>VLOOKUP($A32,Engine!$D:$H,3,FALSE)</f>
        <v>5</v>
      </c>
      <c r="E32" s="12" t="str">
        <f>VLOOKUP($A32,Engine!$D:$H,5,FALSE)</f>
        <v>Magnum</v>
      </c>
      <c r="F32" s="99"/>
      <c r="G32" s="13">
        <f>L32-VLOOKUP($A32,Engine!$D:$S,15,FALSE)</f>
        <v>0</v>
      </c>
      <c r="H32" s="13">
        <f>N32-VLOOKUP($A32,Engine!$D:$S,16,FALSE)</f>
        <v>20</v>
      </c>
      <c r="I32" s="14"/>
      <c r="J32" s="13" t="str">
        <f>IF(VLOOKUP(E32,Engine!H:Q,10,FALSE)=0,"",VLOOKUP(E32,Engine!H:Q,10,FALSE))</f>
        <v>Storm</v>
      </c>
      <c r="K32" s="100" t="str">
        <f t="shared" si="3"/>
        <v/>
      </c>
      <c r="L32" s="12">
        <f>VLOOKUP($A32,Engine!$D:$Z,22,FALSE)</f>
        <v>51</v>
      </c>
      <c r="M32" s="101"/>
      <c r="N32" s="12">
        <f>VLOOKUP($A32,Engine!$D:$Z,23,FALSE)</f>
        <v>1549</v>
      </c>
      <c r="O32" s="106"/>
    </row>
    <row r="33" spans="1:15" s="89" customFormat="1" x14ac:dyDescent="0.3">
      <c r="A33" s="96">
        <f t="shared" si="5"/>
        <v>19</v>
      </c>
      <c r="B33" s="12">
        <f t="shared" si="4"/>
        <v>19</v>
      </c>
      <c r="C33" s="97" t="str">
        <f>VLOOKUP($A33,Engine!$D:$H,2,FALSE)</f>
        <v>p</v>
      </c>
      <c r="D33" s="98">
        <f>VLOOKUP($A33,Engine!$D:$H,3,FALSE)</f>
        <v>2</v>
      </c>
      <c r="E33" s="12" t="str">
        <f>VLOOKUP($A33,Engine!$D:$H,5,FALSE)</f>
        <v>murch</v>
      </c>
      <c r="F33" s="99"/>
      <c r="G33" s="13">
        <f>L33-VLOOKUP($A33,Engine!$D:$S,15,FALSE)</f>
        <v>1</v>
      </c>
      <c r="H33" s="13">
        <f>N33-VLOOKUP($A33,Engine!$D:$S,16,FALSE)</f>
        <v>34</v>
      </c>
      <c r="I33" s="14"/>
      <c r="J33" s="13" t="str">
        <f>IF(VLOOKUP(E33,Engine!H:Q,10,FALSE)=0,"",VLOOKUP(E33,Engine!H:Q,10,FALSE))</f>
        <v>Eels</v>
      </c>
      <c r="K33" s="100" t="str">
        <f t="shared" si="3"/>
        <v/>
      </c>
      <c r="L33" s="12">
        <f>VLOOKUP($A33,Engine!$D:$Z,22,FALSE)</f>
        <v>51</v>
      </c>
      <c r="M33" s="101"/>
      <c r="N33" s="12">
        <f>VLOOKUP($A33,Engine!$D:$Z,23,FALSE)</f>
        <v>1534</v>
      </c>
      <c r="O33" s="106"/>
    </row>
    <row r="34" spans="1:15" s="89" customFormat="1" x14ac:dyDescent="0.3">
      <c r="A34" s="96">
        <f t="shared" si="5"/>
        <v>20</v>
      </c>
      <c r="B34" s="12">
        <f t="shared" si="4"/>
        <v>20</v>
      </c>
      <c r="C34" s="97" t="str">
        <f>VLOOKUP($A34,Engine!$D:$H,2,FALSE)</f>
        <v>p</v>
      </c>
      <c r="D34" s="98">
        <f>VLOOKUP($A34,Engine!$D:$H,3,FALSE)</f>
        <v>2</v>
      </c>
      <c r="E34" s="12" t="str">
        <f>VLOOKUP($A34,Engine!$D:$H,5,FALSE)</f>
        <v>DragonDazz</v>
      </c>
      <c r="F34" s="99"/>
      <c r="G34" s="13">
        <f>L34-VLOOKUP($A34,Engine!$D:$S,15,FALSE)</f>
        <v>1</v>
      </c>
      <c r="H34" s="13">
        <f>N34-VLOOKUP($A34,Engine!$D:$S,16,FALSE)</f>
        <v>34</v>
      </c>
      <c r="I34" s="14"/>
      <c r="J34" s="13" t="str">
        <f>IF(VLOOKUP(E34,Engine!H:Q,10,FALSE)=0,"",VLOOKUP(E34,Engine!H:Q,10,FALSE))</f>
        <v>Storm</v>
      </c>
      <c r="K34" s="100" t="str">
        <f t="shared" si="3"/>
        <v/>
      </c>
      <c r="L34" s="12">
        <f>VLOOKUP($A34,Engine!$D:$Z,22,FALSE)</f>
        <v>51</v>
      </c>
      <c r="M34" s="101"/>
      <c r="N34" s="12">
        <f>VLOOKUP($A34,Engine!$D:$Z,23,FALSE)</f>
        <v>1503</v>
      </c>
      <c r="O34" s="106"/>
    </row>
    <row r="35" spans="1:15" s="89" customFormat="1" x14ac:dyDescent="0.3">
      <c r="A35" s="96">
        <f t="shared" si="5"/>
        <v>21</v>
      </c>
      <c r="B35" s="12">
        <f t="shared" si="4"/>
        <v>21</v>
      </c>
      <c r="C35" s="97" t="str">
        <f>VLOOKUP($A35,Engine!$D:$H,2,FALSE)</f>
        <v>q</v>
      </c>
      <c r="D35" s="98">
        <f>VLOOKUP($A35,Engine!$D:$H,3,FALSE)</f>
        <v>5</v>
      </c>
      <c r="E35" s="12" t="str">
        <f>VLOOKUP($A35,Engine!$D:$H,5,FALSE)</f>
        <v>StuartS</v>
      </c>
      <c r="F35" s="99"/>
      <c r="G35" s="13">
        <f>L35-VLOOKUP($A35,Engine!$D:$S,15,FALSE)</f>
        <v>0</v>
      </c>
      <c r="H35" s="13">
        <f>N35-VLOOKUP($A35,Engine!$D:$S,16,FALSE)</f>
        <v>20</v>
      </c>
      <c r="I35" s="14"/>
      <c r="J35" s="13" t="str">
        <f>IF(VLOOKUP(E35,Engine!H:Q,10,FALSE)=0,"",VLOOKUP(E35,Engine!H:Q,10,FALSE))</f>
        <v>Storm</v>
      </c>
      <c r="K35" s="100" t="str">
        <f t="shared" si="3"/>
        <v/>
      </c>
      <c r="L35" s="12">
        <f>VLOOKUP($A35,Engine!$D:$Z,22,FALSE)</f>
        <v>51</v>
      </c>
      <c r="M35" s="101"/>
      <c r="N35" s="12">
        <f>VLOOKUP($A35,Engine!$D:$Z,23,FALSE)</f>
        <v>1470</v>
      </c>
      <c r="O35" s="106"/>
    </row>
    <row r="36" spans="1:15" s="89" customFormat="1" x14ac:dyDescent="0.3">
      <c r="A36" s="96">
        <f t="shared" si="5"/>
        <v>22</v>
      </c>
      <c r="B36" s="12">
        <f t="shared" si="4"/>
        <v>22</v>
      </c>
      <c r="C36" s="97" t="str">
        <f>VLOOKUP($A36,Engine!$D:$H,2,FALSE)</f>
        <v>p</v>
      </c>
      <c r="D36" s="98">
        <f>VLOOKUP($A36,Engine!$D:$H,3,FALSE)</f>
        <v>1</v>
      </c>
      <c r="E36" s="12" t="str">
        <f>VLOOKUP($A36,Engine!$D:$H,5,FALSE)</f>
        <v>Gerehu3B</v>
      </c>
      <c r="F36" s="99"/>
      <c r="G36" s="13">
        <f>L36-VLOOKUP($A36,Engine!$D:$S,15,FALSE)</f>
        <v>1</v>
      </c>
      <c r="H36" s="13">
        <f>N36-VLOOKUP($A36,Engine!$D:$S,16,FALSE)</f>
        <v>34</v>
      </c>
      <c r="I36" s="14"/>
      <c r="J36" s="13" t="str">
        <f>IF(VLOOKUP(E36,Engine!H:Q,10,FALSE)=0,"",VLOOKUP(E36,Engine!H:Q,10,FALSE))</f>
        <v>Storm</v>
      </c>
      <c r="K36" s="100" t="str">
        <f t="shared" si="3"/>
        <v/>
      </c>
      <c r="L36" s="12">
        <f>VLOOKUP($A36,Engine!$D:$Z,22,FALSE)</f>
        <v>51</v>
      </c>
      <c r="M36" s="101"/>
      <c r="N36" s="12">
        <f>VLOOKUP($A36,Engine!$D:$Z,23,FALSE)</f>
        <v>1412</v>
      </c>
      <c r="O36" s="106"/>
    </row>
    <row r="37" spans="1:15" s="89" customFormat="1" x14ac:dyDescent="0.3">
      <c r="A37" s="96">
        <f t="shared" si="5"/>
        <v>23</v>
      </c>
      <c r="B37" s="12">
        <f t="shared" si="4"/>
        <v>23</v>
      </c>
      <c r="C37" s="97" t="str">
        <f>VLOOKUP($A37,Engine!$D:$H,2,FALSE)</f>
        <v>q</v>
      </c>
      <c r="D37" s="98">
        <f>VLOOKUP($A37,Engine!$D:$H,3,FALSE)</f>
        <v>6</v>
      </c>
      <c r="E37" s="12" t="str">
        <f>VLOOKUP($A37,Engine!$D:$H,5,FALSE)</f>
        <v>PabloW</v>
      </c>
      <c r="F37" s="99"/>
      <c r="G37" s="13">
        <f>L37-VLOOKUP($A37,Engine!$D:$S,15,FALSE)</f>
        <v>0</v>
      </c>
      <c r="H37" s="13">
        <f>N37-VLOOKUP($A37,Engine!$D:$S,16,FALSE)</f>
        <v>20</v>
      </c>
      <c r="I37" s="14"/>
      <c r="J37" s="13" t="str">
        <f>IF(VLOOKUP(E37,Engine!H:Q,10,FALSE)=0,"",VLOOKUP(E37,Engine!H:Q,10,FALSE))</f>
        <v>Eels</v>
      </c>
      <c r="K37" s="100" t="str">
        <f t="shared" si="3"/>
        <v/>
      </c>
      <c r="L37" s="12">
        <f>VLOOKUP($A37,Engine!$D:$Z,22,FALSE)</f>
        <v>50</v>
      </c>
      <c r="M37" s="101"/>
      <c r="N37" s="12">
        <f>VLOOKUP($A37,Engine!$D:$Z,23,FALSE)</f>
        <v>1582</v>
      </c>
      <c r="O37" s="106"/>
    </row>
    <row r="38" spans="1:15" s="89" customFormat="1" x14ac:dyDescent="0.3">
      <c r="A38" s="96">
        <f t="shared" si="5"/>
        <v>24</v>
      </c>
      <c r="B38" s="12">
        <f t="shared" si="4"/>
        <v>24</v>
      </c>
      <c r="C38" s="97" t="str">
        <f>VLOOKUP($A38,Engine!$D:$H,2,FALSE)</f>
        <v>u</v>
      </c>
      <c r="D38" s="98" t="str">
        <f>VLOOKUP($A38,Engine!$D:$H,3,FALSE)</f>
        <v/>
      </c>
      <c r="E38" s="12" t="str">
        <f>VLOOKUP($A38,Engine!$D:$H,5,FALSE)</f>
        <v>Caline</v>
      </c>
      <c r="F38" s="99"/>
      <c r="G38" s="13">
        <f>L38-VLOOKUP($A38,Engine!$D:$S,15,FALSE)</f>
        <v>1</v>
      </c>
      <c r="H38" s="13">
        <f>N38-VLOOKUP($A38,Engine!$D:$S,16,FALSE)</f>
        <v>34</v>
      </c>
      <c r="I38" s="14"/>
      <c r="J38" s="13" t="str">
        <f>IF(VLOOKUP(E38,Engine!H:Q,10,FALSE)=0,"",VLOOKUP(E38,Engine!H:Q,10,FALSE))</f>
        <v>Panthers</v>
      </c>
      <c r="K38" s="100" t="str">
        <f t="shared" si="3"/>
        <v/>
      </c>
      <c r="L38" s="12">
        <f>VLOOKUP($A38,Engine!$D:$Z,22,FALSE)</f>
        <v>50</v>
      </c>
      <c r="M38" s="101"/>
      <c r="N38" s="12">
        <f>VLOOKUP($A38,Engine!$D:$Z,23,FALSE)</f>
        <v>1560</v>
      </c>
      <c r="O38" s="106"/>
    </row>
    <row r="39" spans="1:15" s="89" customFormat="1" x14ac:dyDescent="0.3">
      <c r="A39" s="96">
        <f t="shared" si="5"/>
        <v>25</v>
      </c>
      <c r="B39" s="12">
        <f t="shared" si="4"/>
        <v>25</v>
      </c>
      <c r="C39" s="97" t="str">
        <f>VLOOKUP($A39,Engine!$D:$H,2,FALSE)</f>
        <v>u</v>
      </c>
      <c r="D39" s="98" t="str">
        <f>VLOOKUP($A39,Engine!$D:$H,3,FALSE)</f>
        <v/>
      </c>
      <c r="E39" s="12" t="str">
        <f>VLOOKUP($A39,Engine!$D:$H,5,FALSE)</f>
        <v>turoshamstrings</v>
      </c>
      <c r="F39" s="99"/>
      <c r="G39" s="13">
        <f>L39-VLOOKUP($A39,Engine!$D:$S,15,FALSE)</f>
        <v>1</v>
      </c>
      <c r="H39" s="13">
        <f>N39-VLOOKUP($A39,Engine!$D:$S,16,FALSE)</f>
        <v>34</v>
      </c>
      <c r="I39" s="14"/>
      <c r="J39" s="13" t="str">
        <f>IF(VLOOKUP(E39,Engine!H:Q,10,FALSE)=0,"",VLOOKUP(E39,Engine!H:Q,10,FALSE))</f>
        <v>Storm</v>
      </c>
      <c r="K39" s="100" t="str">
        <f t="shared" si="3"/>
        <v/>
      </c>
      <c r="L39" s="12">
        <f>VLOOKUP($A39,Engine!$D:$Z,22,FALSE)</f>
        <v>50</v>
      </c>
      <c r="M39" s="101"/>
      <c r="N39" s="12">
        <f>VLOOKUP($A39,Engine!$D:$Z,23,FALSE)</f>
        <v>1555</v>
      </c>
      <c r="O39" s="106"/>
    </row>
    <row r="40" spans="1:15" s="89" customFormat="1" x14ac:dyDescent="0.3">
      <c r="A40" s="96">
        <f t="shared" si="5"/>
        <v>26</v>
      </c>
      <c r="B40" s="12">
        <f t="shared" si="4"/>
        <v>26</v>
      </c>
      <c r="C40" s="97" t="str">
        <f>VLOOKUP($A40,Engine!$D:$H,2,FALSE)</f>
        <v>u</v>
      </c>
      <c r="D40" s="98" t="str">
        <f>VLOOKUP($A40,Engine!$D:$H,3,FALSE)</f>
        <v/>
      </c>
      <c r="E40" s="12" t="str">
        <f>VLOOKUP($A40,Engine!$D:$H,5,FALSE)</f>
        <v>Rossco the Pom</v>
      </c>
      <c r="F40" s="99"/>
      <c r="G40" s="13">
        <f>L40-VLOOKUP($A40,Engine!$D:$S,15,FALSE)</f>
        <v>1</v>
      </c>
      <c r="H40" s="13">
        <f>N40-VLOOKUP($A40,Engine!$D:$S,16,FALSE)</f>
        <v>34</v>
      </c>
      <c r="I40" s="14"/>
      <c r="J40" s="13" t="str">
        <f>IF(VLOOKUP(E40,Engine!H:Q,10,FALSE)=0,"",VLOOKUP(E40,Engine!H:Q,10,FALSE))</f>
        <v>Eels</v>
      </c>
      <c r="K40" s="100" t="str">
        <f t="shared" si="3"/>
        <v/>
      </c>
      <c r="L40" s="12">
        <f>VLOOKUP($A40,Engine!$D:$Z,22,FALSE)</f>
        <v>50</v>
      </c>
      <c r="M40" s="101"/>
      <c r="N40" s="12">
        <f>VLOOKUP($A40,Engine!$D:$Z,23,FALSE)</f>
        <v>1544</v>
      </c>
      <c r="O40" s="106"/>
    </row>
    <row r="41" spans="1:15" s="89" customFormat="1" x14ac:dyDescent="0.3">
      <c r="A41" s="96">
        <f t="shared" si="5"/>
        <v>27</v>
      </c>
      <c r="B41" s="12">
        <f t="shared" si="4"/>
        <v>27</v>
      </c>
      <c r="C41" s="97" t="str">
        <f>VLOOKUP($A41,Engine!$D:$H,2,FALSE)</f>
        <v>u</v>
      </c>
      <c r="D41" s="98" t="str">
        <f>VLOOKUP($A41,Engine!$D:$H,3,FALSE)</f>
        <v/>
      </c>
      <c r="E41" s="12" t="str">
        <f>VLOOKUP($A41,Engine!$D:$H,5,FALSE)</f>
        <v>Shagger</v>
      </c>
      <c r="F41" s="99"/>
      <c r="G41" s="13">
        <f>L41-VLOOKUP($A41,Engine!$D:$S,15,FALSE)</f>
        <v>1</v>
      </c>
      <c r="H41" s="13">
        <f>N41-VLOOKUP($A41,Engine!$D:$S,16,FALSE)</f>
        <v>34</v>
      </c>
      <c r="I41" s="14"/>
      <c r="J41" s="13" t="str">
        <f>IF(VLOOKUP(E41,Engine!H:Q,10,FALSE)=0,"",VLOOKUP(E41,Engine!H:Q,10,FALSE))</f>
        <v>Panthers</v>
      </c>
      <c r="K41" s="100" t="str">
        <f t="shared" si="3"/>
        <v/>
      </c>
      <c r="L41" s="12">
        <f>VLOOKUP($A41,Engine!$D:$Z,22,FALSE)</f>
        <v>50</v>
      </c>
      <c r="M41" s="101"/>
      <c r="N41" s="12">
        <f>VLOOKUP($A41,Engine!$D:$Z,23,FALSE)</f>
        <v>1532</v>
      </c>
      <c r="O41" s="106"/>
    </row>
    <row r="42" spans="1:15" s="89" customFormat="1" x14ac:dyDescent="0.3">
      <c r="A42" s="96">
        <f t="shared" si="5"/>
        <v>28</v>
      </c>
      <c r="B42" s="12">
        <f t="shared" si="4"/>
        <v>28</v>
      </c>
      <c r="C42" s="97" t="str">
        <f>VLOOKUP($A42,Engine!$D:$H,2,FALSE)</f>
        <v>u</v>
      </c>
      <c r="D42" s="98" t="str">
        <f>VLOOKUP($A42,Engine!$D:$H,3,FALSE)</f>
        <v/>
      </c>
      <c r="E42" s="12" t="str">
        <f>VLOOKUP($A42,Engine!$D:$H,5,FALSE)</f>
        <v>blakey94</v>
      </c>
      <c r="F42" s="99"/>
      <c r="G42" s="13">
        <f>L42-VLOOKUP($A42,Engine!$D:$S,15,FALSE)</f>
        <v>1</v>
      </c>
      <c r="H42" s="13">
        <f>N42-VLOOKUP($A42,Engine!$D:$S,16,FALSE)</f>
        <v>34</v>
      </c>
      <c r="I42" s="14"/>
      <c r="J42" s="13" t="str">
        <f>IF(VLOOKUP(E42,Engine!H:Q,10,FALSE)=0,"",VLOOKUP(E42,Engine!H:Q,10,FALSE))</f>
        <v>Eels</v>
      </c>
      <c r="K42" s="100" t="str">
        <f t="shared" si="3"/>
        <v/>
      </c>
      <c r="L42" s="12">
        <f>VLOOKUP($A42,Engine!$D:$Z,22,FALSE)</f>
        <v>50</v>
      </c>
      <c r="M42" s="101"/>
      <c r="N42" s="12">
        <f>VLOOKUP($A42,Engine!$D:$Z,23,FALSE)</f>
        <v>1513</v>
      </c>
      <c r="O42" s="106"/>
    </row>
    <row r="43" spans="1:15" s="89" customFormat="1" x14ac:dyDescent="0.3">
      <c r="A43" s="96">
        <f t="shared" si="5"/>
        <v>29</v>
      </c>
      <c r="B43" s="12">
        <f t="shared" si="4"/>
        <v>29</v>
      </c>
      <c r="C43" s="97" t="str">
        <f>VLOOKUP($A43,Engine!$D:$H,2,FALSE)</f>
        <v>u</v>
      </c>
      <c r="D43" s="98" t="str">
        <f>VLOOKUP($A43,Engine!$D:$H,3,FALSE)</f>
        <v/>
      </c>
      <c r="E43" s="12" t="str">
        <f>VLOOKUP($A43,Engine!$D:$H,5,FALSE)</f>
        <v>AaronC</v>
      </c>
      <c r="F43" s="99"/>
      <c r="G43" s="13">
        <f>L43-VLOOKUP($A43,Engine!$D:$S,15,FALSE)</f>
        <v>1</v>
      </c>
      <c r="H43" s="13">
        <f>N43-VLOOKUP($A43,Engine!$D:$S,16,FALSE)</f>
        <v>34</v>
      </c>
      <c r="I43" s="14"/>
      <c r="J43" s="13" t="str">
        <f>IF(VLOOKUP(E43,Engine!H:Q,10,FALSE)=0,"",VLOOKUP(E43,Engine!H:Q,10,FALSE))</f>
        <v>Eels</v>
      </c>
      <c r="K43" s="100" t="str">
        <f t="shared" si="3"/>
        <v/>
      </c>
      <c r="L43" s="12">
        <f>VLOOKUP($A43,Engine!$D:$Z,22,FALSE)</f>
        <v>50</v>
      </c>
      <c r="M43" s="101"/>
      <c r="N43" s="12">
        <f>VLOOKUP($A43,Engine!$D:$Z,23,FALSE)</f>
        <v>1496</v>
      </c>
      <c r="O43" s="106"/>
    </row>
    <row r="44" spans="1:15" s="89" customFormat="1" x14ac:dyDescent="0.3">
      <c r="A44" s="96">
        <f t="shared" si="5"/>
        <v>30</v>
      </c>
      <c r="B44" s="12">
        <f t="shared" si="4"/>
        <v>30</v>
      </c>
      <c r="C44" s="97" t="str">
        <f>VLOOKUP($A44,Engine!$D:$H,2,FALSE)</f>
        <v>p</v>
      </c>
      <c r="D44" s="98">
        <f>VLOOKUP($A44,Engine!$D:$H,3,FALSE)</f>
        <v>1</v>
      </c>
      <c r="E44" s="12" t="str">
        <f>VLOOKUP($A44,Engine!$D:$H,5,FALSE)</f>
        <v>DaveM</v>
      </c>
      <c r="F44" s="99"/>
      <c r="G44" s="13">
        <f>L44-VLOOKUP($A44,Engine!$D:$S,15,FALSE)</f>
        <v>1</v>
      </c>
      <c r="H44" s="13">
        <f>N44-VLOOKUP($A44,Engine!$D:$S,16,FALSE)</f>
        <v>34</v>
      </c>
      <c r="I44" s="14"/>
      <c r="J44" s="13" t="str">
        <f>IF(VLOOKUP(E44,Engine!H:Q,10,FALSE)=0,"",VLOOKUP(E44,Engine!H:Q,10,FALSE))</f>
        <v>Eels</v>
      </c>
      <c r="K44" s="100" t="str">
        <f t="shared" si="3"/>
        <v/>
      </c>
      <c r="L44" s="12">
        <f>VLOOKUP($A44,Engine!$D:$Z,22,FALSE)</f>
        <v>49</v>
      </c>
      <c r="M44" s="101"/>
      <c r="N44" s="12">
        <f>VLOOKUP($A44,Engine!$D:$Z,23,FALSE)</f>
        <v>1541</v>
      </c>
      <c r="O44" s="106"/>
    </row>
    <row r="45" spans="1:15" s="89" customFormat="1" x14ac:dyDescent="0.3">
      <c r="A45" s="96">
        <f t="shared" si="5"/>
        <v>31</v>
      </c>
      <c r="B45" s="12">
        <f t="shared" si="4"/>
        <v>31</v>
      </c>
      <c r="C45" s="97" t="str">
        <f>VLOOKUP($A45,Engine!$D:$H,2,FALSE)</f>
        <v>p</v>
      </c>
      <c r="D45" s="98">
        <f>VLOOKUP($A45,Engine!$D:$H,3,FALSE)</f>
        <v>1</v>
      </c>
      <c r="E45" s="12" t="str">
        <f>VLOOKUP($A45,Engine!$D:$H,5,FALSE)</f>
        <v>9986</v>
      </c>
      <c r="F45" s="99"/>
      <c r="G45" s="13">
        <f>L45-VLOOKUP($A45,Engine!$D:$S,15,FALSE)</f>
        <v>1</v>
      </c>
      <c r="H45" s="13">
        <f>N45-VLOOKUP($A45,Engine!$D:$S,16,FALSE)</f>
        <v>34</v>
      </c>
      <c r="I45" s="14"/>
      <c r="J45" s="13" t="str">
        <f>IF(VLOOKUP(E45,Engine!H:Q,10,FALSE)=0,"",VLOOKUP(E45,Engine!H:Q,10,FALSE))</f>
        <v>Panthers</v>
      </c>
      <c r="K45" s="100" t="str">
        <f t="shared" si="3"/>
        <v/>
      </c>
      <c r="L45" s="12">
        <f>VLOOKUP($A45,Engine!$D:$Z,22,FALSE)</f>
        <v>49</v>
      </c>
      <c r="M45" s="101"/>
      <c r="N45" s="12">
        <f>VLOOKUP($A45,Engine!$D:$Z,23,FALSE)</f>
        <v>1539</v>
      </c>
      <c r="O45" s="106"/>
    </row>
    <row r="46" spans="1:15" s="89" customFormat="1" x14ac:dyDescent="0.3">
      <c r="A46" s="96">
        <f t="shared" si="5"/>
        <v>32</v>
      </c>
      <c r="B46" s="12">
        <f t="shared" si="4"/>
        <v>32</v>
      </c>
      <c r="C46" s="97" t="str">
        <f>VLOOKUP($A46,Engine!$D:$H,2,FALSE)</f>
        <v>p</v>
      </c>
      <c r="D46" s="98">
        <f>VLOOKUP($A46,Engine!$D:$H,3,FALSE)</f>
        <v>1</v>
      </c>
      <c r="E46" s="12" t="str">
        <f>VLOOKUP($A46,Engine!$D:$H,5,FALSE)</f>
        <v>iTerry</v>
      </c>
      <c r="F46" s="99"/>
      <c r="G46" s="13">
        <f>L46-VLOOKUP($A46,Engine!$D:$S,15,FALSE)</f>
        <v>1</v>
      </c>
      <c r="H46" s="13">
        <f>N46-VLOOKUP($A46,Engine!$D:$S,16,FALSE)</f>
        <v>34</v>
      </c>
      <c r="I46" s="14"/>
      <c r="J46" s="13" t="str">
        <f>IF(VLOOKUP(E46,Engine!H:Q,10,FALSE)=0,"",VLOOKUP(E46,Engine!H:Q,10,FALSE))</f>
        <v>Storm</v>
      </c>
      <c r="K46" s="100" t="str">
        <f t="shared" si="3"/>
        <v/>
      </c>
      <c r="L46" s="12">
        <f>VLOOKUP($A46,Engine!$D:$Z,22,FALSE)</f>
        <v>49</v>
      </c>
      <c r="M46" s="101"/>
      <c r="N46" s="12">
        <f>VLOOKUP($A46,Engine!$D:$Z,23,FALSE)</f>
        <v>1539</v>
      </c>
      <c r="O46" s="106"/>
    </row>
    <row r="47" spans="1:15" s="89" customFormat="1" x14ac:dyDescent="0.3">
      <c r="A47" s="96">
        <f t="shared" si="5"/>
        <v>33</v>
      </c>
      <c r="B47" s="12">
        <f t="shared" ref="B47:B83" si="6">A47</f>
        <v>33</v>
      </c>
      <c r="C47" s="97" t="str">
        <f>VLOOKUP($A47,Engine!$D:$H,2,FALSE)</f>
        <v>p</v>
      </c>
      <c r="D47" s="98">
        <f>VLOOKUP($A47,Engine!$D:$H,3,FALSE)</f>
        <v>1</v>
      </c>
      <c r="E47" s="12" t="str">
        <f>VLOOKUP($A47,Engine!$D:$H,5,FALSE)</f>
        <v>Seano</v>
      </c>
      <c r="F47" s="99"/>
      <c r="G47" s="13">
        <f>L47-VLOOKUP($A47,Engine!$D:$S,15,FALSE)</f>
        <v>1</v>
      </c>
      <c r="H47" s="13">
        <f>N47-VLOOKUP($A47,Engine!$D:$S,16,FALSE)</f>
        <v>34</v>
      </c>
      <c r="I47" s="14"/>
      <c r="J47" s="13" t="str">
        <f>IF(VLOOKUP(E47,Engine!H:Q,10,FALSE)=0,"",VLOOKUP(E47,Engine!H:Q,10,FALSE))</f>
        <v>Eels</v>
      </c>
      <c r="K47" s="100" t="str">
        <f t="shared" ref="K47:K83" si="7">IF(COUNTIF(P$4:P$11,J47)=1,R$6,IF(COUNTIF(Q$4:Q$11,J47)=1,R$7,""))</f>
        <v/>
      </c>
      <c r="L47" s="12">
        <f>VLOOKUP($A47,Engine!$D:$Z,22,FALSE)</f>
        <v>49</v>
      </c>
      <c r="M47" s="101"/>
      <c r="N47" s="12">
        <f>VLOOKUP($A47,Engine!$D:$Z,23,FALSE)</f>
        <v>1539</v>
      </c>
      <c r="O47" s="103"/>
    </row>
    <row r="48" spans="1:15" s="89" customFormat="1" x14ac:dyDescent="0.3">
      <c r="A48" s="96">
        <f t="shared" si="5"/>
        <v>34</v>
      </c>
      <c r="B48" s="12">
        <f t="shared" si="6"/>
        <v>34</v>
      </c>
      <c r="C48" s="97" t="str">
        <f>VLOOKUP($A48,Engine!$D:$H,2,FALSE)</f>
        <v>p</v>
      </c>
      <c r="D48" s="98">
        <f>VLOOKUP($A48,Engine!$D:$H,3,FALSE)</f>
        <v>1</v>
      </c>
      <c r="E48" s="12" t="str">
        <f>VLOOKUP($A48,Engine!$D:$H,5,FALSE)</f>
        <v>Wiley C</v>
      </c>
      <c r="F48" s="99"/>
      <c r="G48" s="13">
        <f>L48-VLOOKUP($A48,Engine!$D:$S,15,FALSE)</f>
        <v>1</v>
      </c>
      <c r="H48" s="13">
        <f>N48-VLOOKUP($A48,Engine!$D:$S,16,FALSE)</f>
        <v>34</v>
      </c>
      <c r="I48" s="14"/>
      <c r="J48" s="13" t="str">
        <f>IF(VLOOKUP(E48,Engine!H:Q,10,FALSE)=0,"",VLOOKUP(E48,Engine!H:Q,10,FALSE))</f>
        <v>Eels</v>
      </c>
      <c r="K48" s="100" t="str">
        <f t="shared" si="7"/>
        <v/>
      </c>
      <c r="L48" s="12">
        <f>VLOOKUP($A48,Engine!$D:$Z,22,FALSE)</f>
        <v>49</v>
      </c>
      <c r="M48" s="101"/>
      <c r="N48" s="12">
        <f>VLOOKUP($A48,Engine!$D:$Z,23,FALSE)</f>
        <v>1537</v>
      </c>
      <c r="O48" s="103"/>
    </row>
    <row r="49" spans="1:14" s="89" customFormat="1" x14ac:dyDescent="0.3">
      <c r="A49" s="96">
        <f t="shared" si="5"/>
        <v>35</v>
      </c>
      <c r="B49" s="12">
        <f t="shared" si="6"/>
        <v>35</v>
      </c>
      <c r="C49" s="97" t="str">
        <f>VLOOKUP($A49,Engine!$D:$H,2,FALSE)</f>
        <v>p</v>
      </c>
      <c r="D49" s="98">
        <f>VLOOKUP($A49,Engine!$D:$H,3,FALSE)</f>
        <v>1</v>
      </c>
      <c r="E49" s="12" t="str">
        <f>VLOOKUP($A49,Engine!$D:$H,5,FALSE)</f>
        <v>gdadisho</v>
      </c>
      <c r="F49" s="99"/>
      <c r="G49" s="13">
        <f>L49-VLOOKUP($A49,Engine!$D:$S,15,FALSE)</f>
        <v>1</v>
      </c>
      <c r="H49" s="13">
        <f>N49-VLOOKUP($A49,Engine!$D:$S,16,FALSE)</f>
        <v>34</v>
      </c>
      <c r="I49" s="14"/>
      <c r="J49" s="13" t="str">
        <f>IF(VLOOKUP(E49,Engine!H:Q,10,FALSE)=0,"",VLOOKUP(E49,Engine!H:Q,10,FALSE))</f>
        <v>Warriors</v>
      </c>
      <c r="K49" s="100" t="str">
        <f t="shared" si="7"/>
        <v/>
      </c>
      <c r="L49" s="12">
        <f>VLOOKUP($A49,Engine!$D:$Z,22,FALSE)</f>
        <v>49</v>
      </c>
      <c r="M49" s="101"/>
      <c r="N49" s="12">
        <f>VLOOKUP($A49,Engine!$D:$Z,23,FALSE)</f>
        <v>1536</v>
      </c>
    </row>
    <row r="50" spans="1:14" s="89" customFormat="1" x14ac:dyDescent="0.3">
      <c r="A50" s="96">
        <f t="shared" si="5"/>
        <v>36</v>
      </c>
      <c r="B50" s="12">
        <f t="shared" si="6"/>
        <v>36</v>
      </c>
      <c r="C50" s="97" t="str">
        <f>VLOOKUP($A50,Engine!$D:$H,2,FALSE)</f>
        <v>q</v>
      </c>
      <c r="D50" s="98">
        <f>VLOOKUP($A50,Engine!$D:$H,3,FALSE)</f>
        <v>6</v>
      </c>
      <c r="E50" s="12" t="str">
        <f>VLOOKUP($A50,Engine!$D:$H,5,FALSE)</f>
        <v>T-Bone</v>
      </c>
      <c r="F50" s="99"/>
      <c r="G50" s="13">
        <f>L50-VLOOKUP($A50,Engine!$D:$S,15,FALSE)</f>
        <v>0</v>
      </c>
      <c r="H50" s="13">
        <f>N50-VLOOKUP($A50,Engine!$D:$S,16,FALSE)</f>
        <v>20</v>
      </c>
      <c r="I50" s="14"/>
      <c r="J50" s="13" t="str">
        <f>IF(VLOOKUP(E50,Engine!H:Q,10,FALSE)=0,"",VLOOKUP(E50,Engine!H:Q,10,FALSE))</f>
        <v>Storm</v>
      </c>
      <c r="K50" s="100" t="str">
        <f t="shared" si="7"/>
        <v/>
      </c>
      <c r="L50" s="12">
        <f>VLOOKUP($A50,Engine!$D:$Z,22,FALSE)</f>
        <v>49</v>
      </c>
      <c r="M50" s="101"/>
      <c r="N50" s="12">
        <f>VLOOKUP($A50,Engine!$D:$Z,23,FALSE)</f>
        <v>1480</v>
      </c>
    </row>
    <row r="51" spans="1:14" s="89" customFormat="1" x14ac:dyDescent="0.3">
      <c r="A51" s="96">
        <f t="shared" si="5"/>
        <v>37</v>
      </c>
      <c r="B51" s="12">
        <f t="shared" si="6"/>
        <v>37</v>
      </c>
      <c r="C51" s="97" t="str">
        <f>VLOOKUP($A51,Engine!$D:$H,2,FALSE)</f>
        <v>u</v>
      </c>
      <c r="D51" s="98" t="str">
        <f>VLOOKUP($A51,Engine!$D:$H,3,FALSE)</f>
        <v/>
      </c>
      <c r="E51" s="12" t="str">
        <f>VLOOKUP($A51,Engine!$D:$H,5,FALSE)</f>
        <v>Budgie</v>
      </c>
      <c r="F51" s="99"/>
      <c r="G51" s="13">
        <f>L51-VLOOKUP($A51,Engine!$D:$S,15,FALSE)</f>
        <v>1</v>
      </c>
      <c r="H51" s="13">
        <f>N51-VLOOKUP($A51,Engine!$D:$S,16,FALSE)</f>
        <v>34</v>
      </c>
      <c r="I51" s="14"/>
      <c r="J51" s="13" t="str">
        <f>IF(VLOOKUP(E51,Engine!H:Q,10,FALSE)=0,"",VLOOKUP(E51,Engine!H:Q,10,FALSE))</f>
        <v>Storm</v>
      </c>
      <c r="K51" s="100" t="str">
        <f t="shared" si="7"/>
        <v/>
      </c>
      <c r="L51" s="12">
        <f>VLOOKUP($A51,Engine!$D:$Z,22,FALSE)</f>
        <v>49</v>
      </c>
      <c r="M51" s="101"/>
      <c r="N51" s="12">
        <f>VLOOKUP($A51,Engine!$D:$Z,23,FALSE)</f>
        <v>1447</v>
      </c>
    </row>
    <row r="52" spans="1:14" s="89" customFormat="1" x14ac:dyDescent="0.3">
      <c r="A52" s="96">
        <f t="shared" si="5"/>
        <v>38</v>
      </c>
      <c r="B52" s="12">
        <f t="shared" si="6"/>
        <v>38</v>
      </c>
      <c r="C52" s="97" t="str">
        <f>VLOOKUP($A52,Engine!$D:$H,2,FALSE)</f>
        <v>p</v>
      </c>
      <c r="D52" s="98">
        <f>VLOOKUP($A52,Engine!$D:$H,3,FALSE)</f>
        <v>2</v>
      </c>
      <c r="E52" s="12" t="str">
        <f>VLOOKUP($A52,Engine!$D:$H,5,FALSE)</f>
        <v>Defending Champion</v>
      </c>
      <c r="F52" s="99"/>
      <c r="G52" s="13">
        <f>L52-VLOOKUP($A52,Engine!$D:$S,15,FALSE)</f>
        <v>1</v>
      </c>
      <c r="H52" s="13">
        <f>N52-VLOOKUP($A52,Engine!$D:$S,16,FALSE)</f>
        <v>34</v>
      </c>
      <c r="I52" s="14"/>
      <c r="J52" s="13" t="str">
        <f>IF(VLOOKUP(E52,Engine!H:Q,10,FALSE)=0,"",VLOOKUP(E52,Engine!H:Q,10,FALSE))</f>
        <v>Storm</v>
      </c>
      <c r="K52" s="100" t="str">
        <f t="shared" si="7"/>
        <v/>
      </c>
      <c r="L52" s="12">
        <f>VLOOKUP($A52,Engine!$D:$Z,22,FALSE)</f>
        <v>48</v>
      </c>
      <c r="M52" s="101"/>
      <c r="N52" s="12">
        <f>VLOOKUP($A52,Engine!$D:$Z,23,FALSE)</f>
        <v>1516</v>
      </c>
    </row>
    <row r="53" spans="1:14" s="89" customFormat="1" x14ac:dyDescent="0.3">
      <c r="A53" s="96">
        <f t="shared" si="5"/>
        <v>39</v>
      </c>
      <c r="B53" s="12">
        <f t="shared" si="6"/>
        <v>39</v>
      </c>
      <c r="C53" s="97" t="str">
        <f>VLOOKUP($A53,Engine!$D:$H,2,FALSE)</f>
        <v>p</v>
      </c>
      <c r="D53" s="98">
        <f>VLOOKUP($A53,Engine!$D:$H,3,FALSE)</f>
        <v>2</v>
      </c>
      <c r="E53" s="12" t="str">
        <f>VLOOKUP($A53,Engine!$D:$H,5,FALSE)</f>
        <v>Stallion</v>
      </c>
      <c r="F53" s="99"/>
      <c r="G53" s="13">
        <f>L53-VLOOKUP($A53,Engine!$D:$S,15,FALSE)</f>
        <v>1</v>
      </c>
      <c r="H53" s="13">
        <f>N53-VLOOKUP($A53,Engine!$D:$S,16,FALSE)</f>
        <v>34</v>
      </c>
      <c r="I53" s="14"/>
      <c r="J53" s="13" t="str">
        <f>IF(VLOOKUP(E53,Engine!H:Q,10,FALSE)=0,"",VLOOKUP(E53,Engine!H:Q,10,FALSE))</f>
        <v>Eels</v>
      </c>
      <c r="K53" s="100" t="str">
        <f t="shared" si="7"/>
        <v/>
      </c>
      <c r="L53" s="12">
        <f>VLOOKUP($A53,Engine!$D:$Z,22,FALSE)</f>
        <v>48</v>
      </c>
      <c r="M53" s="101"/>
      <c r="N53" s="12">
        <f>VLOOKUP($A53,Engine!$D:$Z,23,FALSE)</f>
        <v>1505</v>
      </c>
    </row>
    <row r="54" spans="1:14" x14ac:dyDescent="0.3">
      <c r="A54" s="96">
        <f t="shared" si="5"/>
        <v>40</v>
      </c>
      <c r="B54" s="12">
        <f t="shared" si="6"/>
        <v>40</v>
      </c>
      <c r="C54" s="97" t="str">
        <f>VLOOKUP($A54,Engine!$D:$H,2,FALSE)</f>
        <v>p</v>
      </c>
      <c r="D54" s="98">
        <f>VLOOKUP($A54,Engine!$D:$H,3,FALSE)</f>
        <v>2</v>
      </c>
      <c r="E54" s="12" t="str">
        <f>VLOOKUP($A54,Engine!$D:$H,5,FALSE)</f>
        <v>Lou</v>
      </c>
      <c r="F54" s="99"/>
      <c r="G54" s="13">
        <f>L54-VLOOKUP($A54,Engine!$D:$S,15,FALSE)</f>
        <v>1</v>
      </c>
      <c r="H54" s="13">
        <f>N54-VLOOKUP($A54,Engine!$D:$S,16,FALSE)</f>
        <v>34</v>
      </c>
      <c r="I54" s="14"/>
      <c r="J54" s="13" t="str">
        <f>IF(VLOOKUP(E54,Engine!H:Q,10,FALSE)=0,"",VLOOKUP(E54,Engine!H:Q,10,FALSE))</f>
        <v>Storm</v>
      </c>
      <c r="K54" s="100" t="str">
        <f t="shared" si="7"/>
        <v/>
      </c>
      <c r="L54" s="12">
        <f>VLOOKUP($A54,Engine!$D:$Z,22,FALSE)</f>
        <v>48</v>
      </c>
      <c r="M54" s="101"/>
      <c r="N54" s="12">
        <f>VLOOKUP($A54,Engine!$D:$Z,23,FALSE)</f>
        <v>1490</v>
      </c>
    </row>
    <row r="55" spans="1:14" x14ac:dyDescent="0.3">
      <c r="A55" s="96">
        <f t="shared" si="5"/>
        <v>41</v>
      </c>
      <c r="B55" s="12">
        <f t="shared" si="6"/>
        <v>41</v>
      </c>
      <c r="C55" s="97" t="str">
        <f>VLOOKUP($A55,Engine!$D:$H,2,FALSE)</f>
        <v>p</v>
      </c>
      <c r="D55" s="98">
        <f>VLOOKUP($A55,Engine!$D:$H,3,FALSE)</f>
        <v>2</v>
      </c>
      <c r="E55" s="12" t="str">
        <f>VLOOKUP($A55,Engine!$D:$H,5,FALSE)</f>
        <v>786Omkar</v>
      </c>
      <c r="F55" s="99"/>
      <c r="G55" s="13">
        <f>L55-VLOOKUP($A55,Engine!$D:$S,15,FALSE)</f>
        <v>1</v>
      </c>
      <c r="H55" s="13">
        <f>N55-VLOOKUP($A55,Engine!$D:$S,16,FALSE)</f>
        <v>34</v>
      </c>
      <c r="I55" s="14"/>
      <c r="J55" s="13" t="str">
        <f>IF(VLOOKUP(E55,Engine!H:Q,10,FALSE)=0,"",VLOOKUP(E55,Engine!H:Q,10,FALSE))</f>
        <v>Eels</v>
      </c>
      <c r="K55" s="100" t="str">
        <f t="shared" si="7"/>
        <v/>
      </c>
      <c r="L55" s="12">
        <f>VLOOKUP($A55,Engine!$D:$Z,22,FALSE)</f>
        <v>48</v>
      </c>
      <c r="M55" s="101"/>
      <c r="N55" s="12">
        <f>VLOOKUP($A55,Engine!$D:$Z,23,FALSE)</f>
        <v>1483</v>
      </c>
    </row>
    <row r="56" spans="1:14" x14ac:dyDescent="0.3">
      <c r="A56" s="96">
        <f t="shared" si="5"/>
        <v>42</v>
      </c>
      <c r="B56" s="12">
        <f t="shared" si="6"/>
        <v>42</v>
      </c>
      <c r="C56" s="97" t="str">
        <f>VLOOKUP($A56,Engine!$D:$H,2,FALSE)</f>
        <v>p</v>
      </c>
      <c r="D56" s="98">
        <f>VLOOKUP($A56,Engine!$D:$H,3,FALSE)</f>
        <v>2</v>
      </c>
      <c r="E56" s="12" t="str">
        <f>VLOOKUP($A56,Engine!$D:$H,5,FALSE)</f>
        <v>Runner</v>
      </c>
      <c r="F56" s="99"/>
      <c r="G56" s="13">
        <f>L56-VLOOKUP($A56,Engine!$D:$S,15,FALSE)</f>
        <v>1</v>
      </c>
      <c r="H56" s="13">
        <f>N56-VLOOKUP($A56,Engine!$D:$S,16,FALSE)</f>
        <v>34</v>
      </c>
      <c r="I56" s="14"/>
      <c r="J56" s="13" t="str">
        <f>IF(VLOOKUP(E56,Engine!H:Q,10,FALSE)=0,"",VLOOKUP(E56,Engine!H:Q,10,FALSE))</f>
        <v>Eels</v>
      </c>
      <c r="K56" s="100" t="str">
        <f t="shared" si="7"/>
        <v/>
      </c>
      <c r="L56" s="12">
        <f>VLOOKUP($A56,Engine!$D:$Z,22,FALSE)</f>
        <v>48</v>
      </c>
      <c r="M56" s="101"/>
      <c r="N56" s="12">
        <f>VLOOKUP($A56,Engine!$D:$Z,23,FALSE)</f>
        <v>1479</v>
      </c>
    </row>
    <row r="57" spans="1:14" x14ac:dyDescent="0.3">
      <c r="A57" s="96">
        <f t="shared" si="5"/>
        <v>43</v>
      </c>
      <c r="B57" s="12">
        <f t="shared" si="6"/>
        <v>43</v>
      </c>
      <c r="C57" s="97" t="str">
        <f>VLOOKUP($A57,Engine!$D:$H,2,FALSE)</f>
        <v>p</v>
      </c>
      <c r="D57" s="98">
        <f>VLOOKUP($A57,Engine!$D:$H,3,FALSE)</f>
        <v>2</v>
      </c>
      <c r="E57" s="12" t="str">
        <f>VLOOKUP($A57,Engine!$D:$H,5,FALSE)</f>
        <v>Camo</v>
      </c>
      <c r="F57" s="99"/>
      <c r="G57" s="13">
        <f>L57-VLOOKUP($A57,Engine!$D:$S,15,FALSE)</f>
        <v>1</v>
      </c>
      <c r="H57" s="13">
        <f>N57-VLOOKUP($A57,Engine!$D:$S,16,FALSE)</f>
        <v>34</v>
      </c>
      <c r="I57" s="14"/>
      <c r="J57" s="13" t="str">
        <f>IF(VLOOKUP(E57,Engine!H:Q,10,FALSE)=0,"",VLOOKUP(E57,Engine!H:Q,10,FALSE))</f>
        <v>Storm</v>
      </c>
      <c r="K57" s="100" t="str">
        <f t="shared" si="7"/>
        <v/>
      </c>
      <c r="L57" s="12">
        <f>VLOOKUP($A57,Engine!$D:$Z,22,FALSE)</f>
        <v>48</v>
      </c>
      <c r="M57" s="101"/>
      <c r="N57" s="12">
        <f>VLOOKUP($A57,Engine!$D:$Z,23,FALSE)</f>
        <v>1472</v>
      </c>
    </row>
    <row r="58" spans="1:14" x14ac:dyDescent="0.3">
      <c r="A58" s="96">
        <f t="shared" si="5"/>
        <v>44</v>
      </c>
      <c r="B58" s="12">
        <f t="shared" si="6"/>
        <v>44</v>
      </c>
      <c r="C58" s="97" t="str">
        <f>VLOOKUP($A58,Engine!$D:$H,2,FALSE)</f>
        <v>p</v>
      </c>
      <c r="D58" s="98">
        <f>VLOOKUP($A58,Engine!$D:$H,3,FALSE)</f>
        <v>2</v>
      </c>
      <c r="E58" s="12" t="str">
        <f>VLOOKUP($A58,Engine!$D:$H,5,FALSE)</f>
        <v>MB</v>
      </c>
      <c r="F58" s="99"/>
      <c r="G58" s="13">
        <f>L58-VLOOKUP($A58,Engine!$D:$S,15,FALSE)</f>
        <v>1</v>
      </c>
      <c r="H58" s="13">
        <f>N58-VLOOKUP($A58,Engine!$D:$S,16,FALSE)</f>
        <v>34</v>
      </c>
      <c r="I58" s="14"/>
      <c r="J58" s="13" t="str">
        <f>IF(VLOOKUP(E58,Engine!H:Q,10,FALSE)=0,"",VLOOKUP(E58,Engine!H:Q,10,FALSE))</f>
        <v>Eels</v>
      </c>
      <c r="K58" s="100" t="str">
        <f t="shared" si="7"/>
        <v/>
      </c>
      <c r="L58" s="12">
        <f>VLOOKUP($A58,Engine!$D:$Z,22,FALSE)</f>
        <v>48</v>
      </c>
      <c r="M58" s="101"/>
      <c r="N58" s="12">
        <f>VLOOKUP($A58,Engine!$D:$Z,23,FALSE)</f>
        <v>1451</v>
      </c>
    </row>
    <row r="59" spans="1:14" x14ac:dyDescent="0.3">
      <c r="A59" s="96">
        <f t="shared" si="5"/>
        <v>45</v>
      </c>
      <c r="B59" s="12">
        <f t="shared" si="6"/>
        <v>45</v>
      </c>
      <c r="C59" s="97" t="str">
        <f>VLOOKUP($A59,Engine!$D:$H,2,FALSE)</f>
        <v>q</v>
      </c>
      <c r="D59" s="98">
        <f>VLOOKUP($A59,Engine!$D:$H,3,FALSE)</f>
        <v>7</v>
      </c>
      <c r="E59" s="12" t="str">
        <f>VLOOKUP($A59,Engine!$D:$H,5,FALSE)</f>
        <v>I miss Benji</v>
      </c>
      <c r="F59" s="99"/>
      <c r="G59" s="13">
        <f>L59-VLOOKUP($A59,Engine!$D:$S,15,FALSE)</f>
        <v>0</v>
      </c>
      <c r="H59" s="13">
        <f>N59-VLOOKUP($A59,Engine!$D:$S,16,FALSE)</f>
        <v>20</v>
      </c>
      <c r="I59" s="14"/>
      <c r="J59" s="13" t="str">
        <f>IF(VLOOKUP(E59,Engine!H:Q,10,FALSE)=0,"",VLOOKUP(E59,Engine!H:Q,10,FALSE))</f>
        <v>Storm</v>
      </c>
      <c r="K59" s="100" t="str">
        <f t="shared" si="7"/>
        <v/>
      </c>
      <c r="L59" s="12">
        <f>VLOOKUP($A59,Engine!$D:$Z,22,FALSE)</f>
        <v>48</v>
      </c>
      <c r="M59" s="101"/>
      <c r="N59" s="12">
        <f>VLOOKUP($A59,Engine!$D:$Z,23,FALSE)</f>
        <v>1428</v>
      </c>
    </row>
    <row r="60" spans="1:14" x14ac:dyDescent="0.3">
      <c r="A60" s="96">
        <f t="shared" si="5"/>
        <v>46</v>
      </c>
      <c r="B60" s="12">
        <f t="shared" si="6"/>
        <v>46</v>
      </c>
      <c r="C60" s="97" t="str">
        <f>VLOOKUP($A60,Engine!$D:$H,2,FALSE)</f>
        <v>q</v>
      </c>
      <c r="D60" s="98">
        <f>VLOOKUP($A60,Engine!$D:$H,3,FALSE)</f>
        <v>7</v>
      </c>
      <c r="E60" s="12" t="str">
        <f>VLOOKUP($A60,Engine!$D:$H,5,FALSE)</f>
        <v>Rab_i</v>
      </c>
      <c r="F60" s="99"/>
      <c r="G60" s="13">
        <f>L60-VLOOKUP($A60,Engine!$D:$S,15,FALSE)</f>
        <v>0</v>
      </c>
      <c r="H60" s="13">
        <f>N60-VLOOKUP($A60,Engine!$D:$S,16,FALSE)</f>
        <v>20</v>
      </c>
      <c r="I60" s="14"/>
      <c r="J60" s="13" t="str">
        <f>IF(VLOOKUP(E60,Engine!H:Q,10,FALSE)=0,"",VLOOKUP(E60,Engine!H:Q,10,FALSE))</f>
        <v>Storm</v>
      </c>
      <c r="K60" s="100" t="str">
        <f t="shared" si="7"/>
        <v/>
      </c>
      <c r="L60" s="12">
        <f>VLOOKUP($A60,Engine!$D:$Z,22,FALSE)</f>
        <v>48</v>
      </c>
      <c r="M60" s="101"/>
      <c r="N60" s="12">
        <f>VLOOKUP($A60,Engine!$D:$Z,23,FALSE)</f>
        <v>1418</v>
      </c>
    </row>
    <row r="61" spans="1:14" x14ac:dyDescent="0.3">
      <c r="A61" s="96">
        <f t="shared" si="5"/>
        <v>47</v>
      </c>
      <c r="B61" s="12">
        <f t="shared" si="6"/>
        <v>47</v>
      </c>
      <c r="C61" s="97" t="str">
        <f>VLOOKUP($A61,Engine!$D:$H,2,FALSE)</f>
        <v>u</v>
      </c>
      <c r="D61" s="98" t="str">
        <f>VLOOKUP($A61,Engine!$D:$H,3,FALSE)</f>
        <v/>
      </c>
      <c r="E61" s="12" t="str">
        <f>VLOOKUP($A61,Engine!$D:$H,5,FALSE)</f>
        <v>Guru2810</v>
      </c>
      <c r="F61" s="99"/>
      <c r="G61" s="13">
        <f>L61-VLOOKUP($A61,Engine!$D:$S,15,FALSE)</f>
        <v>1</v>
      </c>
      <c r="H61" s="13">
        <f>N61-VLOOKUP($A61,Engine!$D:$S,16,FALSE)</f>
        <v>34</v>
      </c>
      <c r="I61" s="14"/>
      <c r="J61" s="13" t="str">
        <f>IF(VLOOKUP(E61,Engine!H:Q,10,FALSE)=0,"",VLOOKUP(E61,Engine!H:Q,10,FALSE))</f>
        <v>Eels</v>
      </c>
      <c r="K61" s="100" t="str">
        <f t="shared" si="7"/>
        <v/>
      </c>
      <c r="L61" s="12">
        <f>VLOOKUP($A61,Engine!$D:$Z,22,FALSE)</f>
        <v>47</v>
      </c>
      <c r="M61" s="101"/>
      <c r="N61" s="12">
        <f>VLOOKUP($A61,Engine!$D:$Z,23,FALSE)</f>
        <v>1515</v>
      </c>
    </row>
    <row r="62" spans="1:14" x14ac:dyDescent="0.3">
      <c r="A62" s="96">
        <f t="shared" si="5"/>
        <v>48</v>
      </c>
      <c r="B62" s="12">
        <f t="shared" si="6"/>
        <v>48</v>
      </c>
      <c r="C62" s="97" t="str">
        <f>VLOOKUP($A62,Engine!$D:$H,2,FALSE)</f>
        <v>u</v>
      </c>
      <c r="D62" s="98" t="str">
        <f>VLOOKUP($A62,Engine!$D:$H,3,FALSE)</f>
        <v/>
      </c>
      <c r="E62" s="12" t="str">
        <f>VLOOKUP($A62,Engine!$D:$H,5,FALSE)</f>
        <v>SMOG</v>
      </c>
      <c r="F62" s="99"/>
      <c r="G62" s="13">
        <f>L62-VLOOKUP($A62,Engine!$D:$S,15,FALSE)</f>
        <v>1</v>
      </c>
      <c r="H62" s="13">
        <f>N62-VLOOKUP($A62,Engine!$D:$S,16,FALSE)</f>
        <v>34</v>
      </c>
      <c r="I62" s="14"/>
      <c r="J62" s="13" t="str">
        <f>IF(VLOOKUP(E62,Engine!H:Q,10,FALSE)=0,"",VLOOKUP(E62,Engine!H:Q,10,FALSE))</f>
        <v>Eels</v>
      </c>
      <c r="K62" s="100" t="str">
        <f t="shared" si="7"/>
        <v/>
      </c>
      <c r="L62" s="12">
        <f>VLOOKUP($A62,Engine!$D:$Z,22,FALSE)</f>
        <v>47</v>
      </c>
      <c r="M62" s="101"/>
      <c r="N62" s="12">
        <f>VLOOKUP($A62,Engine!$D:$Z,23,FALSE)</f>
        <v>1508</v>
      </c>
    </row>
    <row r="63" spans="1:14" x14ac:dyDescent="0.3">
      <c r="A63" s="96">
        <f t="shared" si="5"/>
        <v>49</v>
      </c>
      <c r="B63" s="12">
        <f t="shared" si="6"/>
        <v>49</v>
      </c>
      <c r="C63" s="97" t="str">
        <f>VLOOKUP($A63,Engine!$D:$H,2,FALSE)</f>
        <v>u</v>
      </c>
      <c r="D63" s="98" t="str">
        <f>VLOOKUP($A63,Engine!$D:$H,3,FALSE)</f>
        <v/>
      </c>
      <c r="E63" s="12" t="str">
        <f>VLOOKUP($A63,Engine!$D:$H,5,FALSE)</f>
        <v>SCULKIN</v>
      </c>
      <c r="F63" s="99"/>
      <c r="G63" s="13">
        <f>L63-VLOOKUP($A63,Engine!$D:$S,15,FALSE)</f>
        <v>1</v>
      </c>
      <c r="H63" s="13">
        <f>N63-VLOOKUP($A63,Engine!$D:$S,16,FALSE)</f>
        <v>34</v>
      </c>
      <c r="I63" s="14"/>
      <c r="J63" s="13" t="str">
        <f>IF(VLOOKUP(E63,Engine!H:Q,10,FALSE)=0,"",VLOOKUP(E63,Engine!H:Q,10,FALSE))</f>
        <v>Storm</v>
      </c>
      <c r="K63" s="100" t="str">
        <f t="shared" si="7"/>
        <v/>
      </c>
      <c r="L63" s="12">
        <f>VLOOKUP($A63,Engine!$D:$Z,22,FALSE)</f>
        <v>47</v>
      </c>
      <c r="M63" s="101"/>
      <c r="N63" s="12">
        <f>VLOOKUP($A63,Engine!$D:$Z,23,FALSE)</f>
        <v>1507</v>
      </c>
    </row>
    <row r="64" spans="1:14" x14ac:dyDescent="0.3">
      <c r="A64" s="96">
        <f t="shared" si="5"/>
        <v>50</v>
      </c>
      <c r="B64" s="12">
        <f t="shared" si="6"/>
        <v>50</v>
      </c>
      <c r="C64" s="97" t="str">
        <f>VLOOKUP($A64,Engine!$D:$H,2,FALSE)</f>
        <v>u</v>
      </c>
      <c r="D64" s="98" t="str">
        <f>VLOOKUP($A64,Engine!$D:$H,3,FALSE)</f>
        <v/>
      </c>
      <c r="E64" s="12" t="str">
        <f>VLOOKUP($A64,Engine!$D:$H,5,FALSE)</f>
        <v>Year of the Knights</v>
      </c>
      <c r="F64" s="99"/>
      <c r="G64" s="13">
        <f>L64-VLOOKUP($A64,Engine!$D:$S,15,FALSE)</f>
        <v>1</v>
      </c>
      <c r="H64" s="13">
        <f>N64-VLOOKUP($A64,Engine!$D:$S,16,FALSE)</f>
        <v>34</v>
      </c>
      <c r="I64" s="14"/>
      <c r="J64" s="13" t="str">
        <f>IF(VLOOKUP(E64,Engine!H:Q,10,FALSE)=0,"",VLOOKUP(E64,Engine!H:Q,10,FALSE))</f>
        <v>Storm</v>
      </c>
      <c r="K64" s="100" t="str">
        <f t="shared" si="7"/>
        <v/>
      </c>
      <c r="L64" s="12">
        <f>VLOOKUP($A64,Engine!$D:$Z,22,FALSE)</f>
        <v>47</v>
      </c>
      <c r="M64" s="101"/>
      <c r="N64" s="12">
        <f>VLOOKUP($A64,Engine!$D:$Z,23,FALSE)</f>
        <v>1506</v>
      </c>
    </row>
    <row r="65" spans="1:14" x14ac:dyDescent="0.3">
      <c r="A65" s="96">
        <f t="shared" si="5"/>
        <v>51</v>
      </c>
      <c r="B65" s="12">
        <f t="shared" si="6"/>
        <v>51</v>
      </c>
      <c r="C65" s="97" t="str">
        <f>VLOOKUP($A65,Engine!$D:$H,2,FALSE)</f>
        <v>u</v>
      </c>
      <c r="D65" s="98" t="str">
        <f>VLOOKUP($A65,Engine!$D:$H,3,FALSE)</f>
        <v/>
      </c>
      <c r="E65" s="12" t="str">
        <f>VLOOKUP($A65,Engine!$D:$H,5,FALSE)</f>
        <v>Big Moose</v>
      </c>
      <c r="F65" s="99"/>
      <c r="G65" s="13">
        <f>L65-VLOOKUP($A65,Engine!$D:$S,15,FALSE)</f>
        <v>1</v>
      </c>
      <c r="H65" s="13">
        <f>N65-VLOOKUP($A65,Engine!$D:$S,16,FALSE)</f>
        <v>34</v>
      </c>
      <c r="I65" s="14"/>
      <c r="J65" s="13" t="str">
        <f>IF(VLOOKUP(E65,Engine!H:Q,10,FALSE)=0,"",VLOOKUP(E65,Engine!H:Q,10,FALSE))</f>
        <v>Storm</v>
      </c>
      <c r="K65" s="100" t="str">
        <f t="shared" si="7"/>
        <v/>
      </c>
      <c r="L65" s="12">
        <f>VLOOKUP($A65,Engine!$D:$Z,22,FALSE)</f>
        <v>47</v>
      </c>
      <c r="M65" s="101"/>
      <c r="N65" s="12">
        <f>VLOOKUP($A65,Engine!$D:$Z,23,FALSE)</f>
        <v>1503</v>
      </c>
    </row>
    <row r="66" spans="1:14" x14ac:dyDescent="0.3">
      <c r="A66" s="96">
        <f t="shared" si="5"/>
        <v>52</v>
      </c>
      <c r="B66" s="12">
        <f t="shared" si="6"/>
        <v>52</v>
      </c>
      <c r="C66" s="97" t="str">
        <f>VLOOKUP($A66,Engine!$D:$H,2,FALSE)</f>
        <v>u</v>
      </c>
      <c r="D66" s="98" t="str">
        <f>VLOOKUP($A66,Engine!$D:$H,3,FALSE)</f>
        <v/>
      </c>
      <c r="E66" s="12" t="str">
        <f>VLOOKUP($A66,Engine!$D:$H,5,FALSE)</f>
        <v>Toothpick13</v>
      </c>
      <c r="F66" s="99"/>
      <c r="G66" s="13">
        <f>L66-VLOOKUP($A66,Engine!$D:$S,15,FALSE)</f>
        <v>1</v>
      </c>
      <c r="H66" s="13">
        <f>N66-VLOOKUP($A66,Engine!$D:$S,16,FALSE)</f>
        <v>34</v>
      </c>
      <c r="I66" s="14"/>
      <c r="J66" s="13" t="str">
        <f>IF(VLOOKUP(E66,Engine!H:Q,10,FALSE)=0,"",VLOOKUP(E66,Engine!H:Q,10,FALSE))</f>
        <v>Eels</v>
      </c>
      <c r="K66" s="100" t="str">
        <f t="shared" si="7"/>
        <v/>
      </c>
      <c r="L66" s="12">
        <f>VLOOKUP($A66,Engine!$D:$Z,22,FALSE)</f>
        <v>47</v>
      </c>
      <c r="M66" s="101"/>
      <c r="N66" s="12">
        <f>VLOOKUP($A66,Engine!$D:$Z,23,FALSE)</f>
        <v>1495</v>
      </c>
    </row>
    <row r="67" spans="1:14" x14ac:dyDescent="0.3">
      <c r="A67" s="96">
        <f t="shared" si="5"/>
        <v>53</v>
      </c>
      <c r="B67" s="12">
        <f t="shared" si="6"/>
        <v>53</v>
      </c>
      <c r="C67" s="97" t="str">
        <f>VLOOKUP($A67,Engine!$D:$H,2,FALSE)</f>
        <v>p</v>
      </c>
      <c r="D67" s="98">
        <f>VLOOKUP($A67,Engine!$D:$H,3,FALSE)</f>
        <v>1</v>
      </c>
      <c r="E67" s="12" t="str">
        <f>VLOOKUP($A67,Engine!$D:$H,5,FALSE)</f>
        <v>Cruella</v>
      </c>
      <c r="F67" s="99"/>
      <c r="G67" s="13">
        <f>L67-VLOOKUP($A67,Engine!$D:$S,15,FALSE)</f>
        <v>1</v>
      </c>
      <c r="H67" s="13">
        <f>N67-VLOOKUP($A67,Engine!$D:$S,16,FALSE)</f>
        <v>34</v>
      </c>
      <c r="I67" s="14"/>
      <c r="J67" s="13" t="str">
        <f>IF(VLOOKUP(E67,Engine!H:Q,10,FALSE)=0,"",VLOOKUP(E67,Engine!H:Q,10,FALSE))</f>
        <v>Panthers</v>
      </c>
      <c r="K67" s="100" t="str">
        <f t="shared" si="7"/>
        <v/>
      </c>
      <c r="L67" s="12">
        <f>VLOOKUP($A67,Engine!$D:$Z,22,FALSE)</f>
        <v>47</v>
      </c>
      <c r="M67" s="101"/>
      <c r="N67" s="12">
        <f>VLOOKUP($A67,Engine!$D:$Z,23,FALSE)</f>
        <v>1480</v>
      </c>
    </row>
    <row r="68" spans="1:14" x14ac:dyDescent="0.3">
      <c r="A68" s="96">
        <f t="shared" si="5"/>
        <v>54</v>
      </c>
      <c r="B68" s="12">
        <f t="shared" si="6"/>
        <v>54</v>
      </c>
      <c r="C68" s="97" t="str">
        <f>VLOOKUP($A68,Engine!$D:$H,2,FALSE)</f>
        <v>q</v>
      </c>
      <c r="D68" s="98">
        <f>VLOOKUP($A68,Engine!$D:$H,3,FALSE)</f>
        <v>1</v>
      </c>
      <c r="E68" s="12" t="str">
        <f>VLOOKUP($A68,Engine!$D:$H,5,FALSE)</f>
        <v>GeorgeTheDragon</v>
      </c>
      <c r="F68" s="99"/>
      <c r="G68" s="13">
        <f>L68-VLOOKUP($A68,Engine!$D:$S,15,FALSE)</f>
        <v>0</v>
      </c>
      <c r="H68" s="13">
        <f>N68-VLOOKUP($A68,Engine!$D:$S,16,FALSE)</f>
        <v>20</v>
      </c>
      <c r="I68" s="14"/>
      <c r="J68" s="13" t="str">
        <f>IF(VLOOKUP(E68,Engine!H:Q,10,FALSE)=0,"",VLOOKUP(E68,Engine!H:Q,10,FALSE))</f>
        <v>Storm</v>
      </c>
      <c r="K68" s="100" t="str">
        <f t="shared" si="7"/>
        <v/>
      </c>
      <c r="L68" s="12">
        <f>VLOOKUP($A68,Engine!$D:$Z,22,FALSE)</f>
        <v>46</v>
      </c>
      <c r="M68" s="101"/>
      <c r="N68" s="12">
        <f>VLOOKUP($A68,Engine!$D:$Z,23,FALSE)</f>
        <v>1479</v>
      </c>
    </row>
    <row r="69" spans="1:14" x14ac:dyDescent="0.3">
      <c r="A69" s="96">
        <f t="shared" si="5"/>
        <v>55</v>
      </c>
      <c r="B69" s="12">
        <f t="shared" si="6"/>
        <v>55</v>
      </c>
      <c r="C69" s="97" t="str">
        <f>VLOOKUP($A69,Engine!$D:$H,2,FALSE)</f>
        <v>u</v>
      </c>
      <c r="D69" s="98" t="str">
        <f>VLOOKUP($A69,Engine!$D:$H,3,FALSE)</f>
        <v/>
      </c>
      <c r="E69" s="12" t="str">
        <f>VLOOKUP($A69,Engine!$D:$H,5,FALSE)</f>
        <v>TheZipZipMan</v>
      </c>
      <c r="F69" s="99"/>
      <c r="G69" s="13">
        <f>L69-VLOOKUP($A69,Engine!$D:$S,15,FALSE)</f>
        <v>0</v>
      </c>
      <c r="H69" s="13">
        <f>N69-VLOOKUP($A69,Engine!$D:$S,16,FALSE)</f>
        <v>20</v>
      </c>
      <c r="I69" s="14"/>
      <c r="J69" s="13" t="str">
        <f>IF(VLOOKUP(E69,Engine!H:Q,10,FALSE)=0,"",VLOOKUP(E69,Engine!H:Q,10,FALSE))</f>
        <v>No Tips</v>
      </c>
      <c r="K69" s="100" t="str">
        <f t="shared" si="7"/>
        <v/>
      </c>
      <c r="L69" s="12">
        <f>VLOOKUP($A69,Engine!$D:$Z,22,FALSE)</f>
        <v>45</v>
      </c>
      <c r="M69" s="101"/>
      <c r="N69" s="12">
        <f>VLOOKUP($A69,Engine!$D:$Z,23,FALSE)</f>
        <v>1531</v>
      </c>
    </row>
    <row r="70" spans="1:14" x14ac:dyDescent="0.3">
      <c r="A70" s="96">
        <f t="shared" si="5"/>
        <v>56</v>
      </c>
      <c r="B70" s="12">
        <f t="shared" si="6"/>
        <v>56</v>
      </c>
      <c r="C70" s="97" t="str">
        <f>VLOOKUP($A70,Engine!$D:$H,2,FALSE)</f>
        <v>u</v>
      </c>
      <c r="D70" s="98" t="str">
        <f>VLOOKUP($A70,Engine!$D:$H,3,FALSE)</f>
        <v/>
      </c>
      <c r="E70" s="12" t="str">
        <f>VLOOKUP($A70,Engine!$D:$H,5,FALSE)</f>
        <v>ILuvGal</v>
      </c>
      <c r="F70" s="99"/>
      <c r="G70" s="13">
        <f>L70-VLOOKUP($A70,Engine!$D:$S,15,FALSE)</f>
        <v>1</v>
      </c>
      <c r="H70" s="13">
        <f>N70-VLOOKUP($A70,Engine!$D:$S,16,FALSE)</f>
        <v>34</v>
      </c>
      <c r="I70" s="14"/>
      <c r="J70" s="13" t="str">
        <f>IF(VLOOKUP(E70,Engine!H:Q,10,FALSE)=0,"",VLOOKUP(E70,Engine!H:Q,10,FALSE))</f>
        <v>Eels</v>
      </c>
      <c r="K70" s="100" t="str">
        <f t="shared" si="7"/>
        <v/>
      </c>
      <c r="L70" s="12">
        <f>VLOOKUP($A70,Engine!$D:$Z,22,FALSE)</f>
        <v>45</v>
      </c>
      <c r="M70" s="101"/>
      <c r="N70" s="12">
        <f>VLOOKUP($A70,Engine!$D:$Z,23,FALSE)</f>
        <v>1524</v>
      </c>
    </row>
    <row r="71" spans="1:14" x14ac:dyDescent="0.3">
      <c r="A71" s="96">
        <f t="shared" si="5"/>
        <v>57</v>
      </c>
      <c r="B71" s="12">
        <f t="shared" si="6"/>
        <v>57</v>
      </c>
      <c r="C71" s="97" t="str">
        <f>VLOOKUP($A71,Engine!$D:$H,2,FALSE)</f>
        <v>u</v>
      </c>
      <c r="D71" s="98" t="str">
        <f>VLOOKUP($A71,Engine!$D:$H,3,FALSE)</f>
        <v/>
      </c>
      <c r="E71" s="12" t="str">
        <f>VLOOKUP($A71,Engine!$D:$H,5,FALSE)</f>
        <v>Timbo</v>
      </c>
      <c r="F71" s="99"/>
      <c r="G71" s="13">
        <f>L71-VLOOKUP($A71,Engine!$D:$S,15,FALSE)</f>
        <v>0</v>
      </c>
      <c r="H71" s="13">
        <f>N71-VLOOKUP($A71,Engine!$D:$S,16,FALSE)</f>
        <v>20</v>
      </c>
      <c r="I71" s="14"/>
      <c r="J71" s="13" t="str">
        <f>IF(VLOOKUP(E71,Engine!H:Q,10,FALSE)=0,"",VLOOKUP(E71,Engine!H:Q,10,FALSE))</f>
        <v>Storm</v>
      </c>
      <c r="K71" s="100" t="str">
        <f t="shared" si="7"/>
        <v/>
      </c>
      <c r="L71" s="12">
        <f>VLOOKUP($A71,Engine!$D:$Z,22,FALSE)</f>
        <v>44</v>
      </c>
      <c r="M71" s="101"/>
      <c r="N71" s="12">
        <f>VLOOKUP($A71,Engine!$D:$Z,23,FALSE)</f>
        <v>1429</v>
      </c>
    </row>
    <row r="72" spans="1:14" x14ac:dyDescent="0.3">
      <c r="A72" s="96">
        <f t="shared" si="5"/>
        <v>58</v>
      </c>
      <c r="B72" s="12">
        <f t="shared" si="6"/>
        <v>58</v>
      </c>
      <c r="C72" s="97" t="str">
        <f>VLOOKUP($A72,Engine!$D:$H,2,FALSE)</f>
        <v>p</v>
      </c>
      <c r="D72" s="98">
        <f>VLOOKUP($A72,Engine!$D:$H,3,FALSE)</f>
        <v>1</v>
      </c>
      <c r="E72" s="12" t="str">
        <f>VLOOKUP($A72,Engine!$D:$H,5,FALSE)</f>
        <v>Adel Messih</v>
      </c>
      <c r="F72" s="99"/>
      <c r="G72" s="13">
        <f>L72-VLOOKUP($A72,Engine!$D:$S,15,FALSE)</f>
        <v>1</v>
      </c>
      <c r="H72" s="13">
        <f>N72-VLOOKUP($A72,Engine!$D:$S,16,FALSE)</f>
        <v>34</v>
      </c>
      <c r="I72" s="14"/>
      <c r="J72" s="13" t="str">
        <f>IF(VLOOKUP(E72,Engine!H:Q,10,FALSE)=0,"",VLOOKUP(E72,Engine!H:Q,10,FALSE))</f>
        <v>Storm</v>
      </c>
      <c r="K72" s="100" t="str">
        <f t="shared" si="7"/>
        <v/>
      </c>
      <c r="L72" s="12">
        <f>VLOOKUP($A72,Engine!$D:$Z,22,FALSE)</f>
        <v>44</v>
      </c>
      <c r="M72" s="101"/>
      <c r="N72" s="12">
        <f>VLOOKUP($A72,Engine!$D:$Z,23,FALSE)</f>
        <v>1402</v>
      </c>
    </row>
    <row r="73" spans="1:14" x14ac:dyDescent="0.3">
      <c r="A73" s="96">
        <f t="shared" si="5"/>
        <v>59</v>
      </c>
      <c r="B73" s="12">
        <f t="shared" si="6"/>
        <v>59</v>
      </c>
      <c r="C73" s="97" t="str">
        <f>VLOOKUP($A73,Engine!$D:$H,2,FALSE)</f>
        <v>p</v>
      </c>
      <c r="D73" s="98">
        <f>VLOOKUP($A73,Engine!$D:$H,3,FALSE)</f>
        <v>1</v>
      </c>
      <c r="E73" s="12" t="str">
        <f>VLOOKUP($A73,Engine!$D:$H,5,FALSE)</f>
        <v>Robert Cook</v>
      </c>
      <c r="F73" s="99"/>
      <c r="G73" s="13">
        <f>L73-VLOOKUP($A73,Engine!$D:$S,15,FALSE)</f>
        <v>1</v>
      </c>
      <c r="H73" s="13">
        <f>N73-VLOOKUP($A73,Engine!$D:$S,16,FALSE)</f>
        <v>34</v>
      </c>
      <c r="I73" s="14"/>
      <c r="J73" s="13" t="str">
        <f>IF(VLOOKUP(E73,Engine!H:Q,10,FALSE)=0,"",VLOOKUP(E73,Engine!H:Q,10,FALSE))</f>
        <v>Storm</v>
      </c>
      <c r="K73" s="100" t="str">
        <f t="shared" si="7"/>
        <v/>
      </c>
      <c r="L73" s="12">
        <f>VLOOKUP($A73,Engine!$D:$Z,22,FALSE)</f>
        <v>43</v>
      </c>
      <c r="M73" s="101"/>
      <c r="N73" s="12">
        <f>VLOOKUP($A73,Engine!$D:$Z,23,FALSE)</f>
        <v>1503</v>
      </c>
    </row>
    <row r="74" spans="1:14" x14ac:dyDescent="0.3">
      <c r="A74" s="96">
        <f t="shared" si="5"/>
        <v>60</v>
      </c>
      <c r="B74" s="12">
        <f t="shared" si="6"/>
        <v>60</v>
      </c>
      <c r="C74" s="97" t="str">
        <f>VLOOKUP($A74,Engine!$D:$H,2,FALSE)</f>
        <v>q</v>
      </c>
      <c r="D74" s="98">
        <f>VLOOKUP($A74,Engine!$D:$H,3,FALSE)</f>
        <v>2</v>
      </c>
      <c r="E74" s="12" t="str">
        <f>VLOOKUP($A74,Engine!$D:$H,5,FALSE)</f>
        <v>Pantherman</v>
      </c>
      <c r="F74" s="99"/>
      <c r="G74" s="13">
        <f>L74-VLOOKUP($A74,Engine!$D:$S,15,FALSE)</f>
        <v>0</v>
      </c>
      <c r="H74" s="13">
        <f>N74-VLOOKUP($A74,Engine!$D:$S,16,FALSE)</f>
        <v>20</v>
      </c>
      <c r="I74" s="14"/>
      <c r="J74" s="13" t="str">
        <f>IF(VLOOKUP(E74,Engine!H:Q,10,FALSE)=0,"",VLOOKUP(E74,Engine!H:Q,10,FALSE))</f>
        <v>Eels</v>
      </c>
      <c r="K74" s="100" t="str">
        <f t="shared" si="7"/>
        <v/>
      </c>
      <c r="L74" s="12">
        <f>VLOOKUP($A74,Engine!$D:$Z,22,FALSE)</f>
        <v>43</v>
      </c>
      <c r="M74" s="101"/>
      <c r="N74" s="12">
        <f>VLOOKUP($A74,Engine!$D:$Z,23,FALSE)</f>
        <v>1423</v>
      </c>
    </row>
    <row r="75" spans="1:14" x14ac:dyDescent="0.3">
      <c r="A75" s="96">
        <f t="shared" si="5"/>
        <v>61</v>
      </c>
      <c r="B75" s="12">
        <f t="shared" si="6"/>
        <v>61</v>
      </c>
      <c r="C75" s="97" t="str">
        <f>VLOOKUP($A75,Engine!$D:$H,2,FALSE)</f>
        <v>p</v>
      </c>
      <c r="D75" s="98">
        <f>VLOOKUP($A75,Engine!$D:$H,3,FALSE)</f>
        <v>1</v>
      </c>
      <c r="E75" s="12" t="str">
        <f>VLOOKUP($A75,Engine!$D:$H,5,FALSE)</f>
        <v>Bridie</v>
      </c>
      <c r="F75" s="99"/>
      <c r="G75" s="13">
        <f>L75-VLOOKUP($A75,Engine!$D:$S,15,FALSE)</f>
        <v>1</v>
      </c>
      <c r="H75" s="13">
        <f>N75-VLOOKUP($A75,Engine!$D:$S,16,FALSE)</f>
        <v>34</v>
      </c>
      <c r="I75" s="14"/>
      <c r="J75" s="13" t="str">
        <f>IF(VLOOKUP(E75,Engine!H:Q,10,FALSE)=0,"",VLOOKUP(E75,Engine!H:Q,10,FALSE))</f>
        <v>Panthers</v>
      </c>
      <c r="K75" s="100" t="str">
        <f t="shared" si="7"/>
        <v/>
      </c>
      <c r="L75" s="12">
        <f>VLOOKUP($A75,Engine!$D:$Z,22,FALSE)</f>
        <v>43</v>
      </c>
      <c r="M75" s="101"/>
      <c r="N75" s="12">
        <f>VLOOKUP($A75,Engine!$D:$Z,23,FALSE)</f>
        <v>1393</v>
      </c>
    </row>
    <row r="76" spans="1:14" x14ac:dyDescent="0.3">
      <c r="A76" s="96">
        <f t="shared" si="5"/>
        <v>62</v>
      </c>
      <c r="B76" s="12">
        <f t="shared" si="6"/>
        <v>62</v>
      </c>
      <c r="C76" s="97" t="str">
        <f>VLOOKUP($A76,Engine!$D:$H,2,FALSE)</f>
        <v>q</v>
      </c>
      <c r="D76" s="98">
        <f>VLOOKUP($A76,Engine!$D:$H,3,FALSE)</f>
        <v>1</v>
      </c>
      <c r="E76" s="12" t="str">
        <f>VLOOKUP($A76,Engine!$D:$H,5,FALSE)</f>
        <v>NotLast</v>
      </c>
      <c r="F76" s="99"/>
      <c r="G76" s="13">
        <f>L76-VLOOKUP($A76,Engine!$D:$S,15,FALSE)</f>
        <v>0</v>
      </c>
      <c r="H76" s="13">
        <f>N76-VLOOKUP($A76,Engine!$D:$S,16,FALSE)</f>
        <v>20</v>
      </c>
      <c r="I76" s="14"/>
      <c r="J76" s="13" t="str">
        <f>IF(VLOOKUP(E76,Engine!H:Q,10,FALSE)=0,"",VLOOKUP(E76,Engine!H:Q,10,FALSE))</f>
        <v>Eels</v>
      </c>
      <c r="K76" s="100" t="str">
        <f t="shared" si="7"/>
        <v/>
      </c>
      <c r="L76" s="12">
        <f>VLOOKUP($A76,Engine!$D:$Z,22,FALSE)</f>
        <v>42</v>
      </c>
      <c r="M76" s="101"/>
      <c r="N76" s="12">
        <f>VLOOKUP($A76,Engine!$D:$Z,23,FALSE)</f>
        <v>1421</v>
      </c>
    </row>
    <row r="77" spans="1:14" x14ac:dyDescent="0.3">
      <c r="A77" s="96">
        <f t="shared" si="5"/>
        <v>63</v>
      </c>
      <c r="B77" s="12">
        <f t="shared" si="6"/>
        <v>63</v>
      </c>
      <c r="C77" s="97" t="str">
        <f>VLOOKUP($A77,Engine!$D:$H,2,FALSE)</f>
        <v>u</v>
      </c>
      <c r="D77" s="98" t="str">
        <f>VLOOKUP($A77,Engine!$D:$H,3,FALSE)</f>
        <v/>
      </c>
      <c r="E77" s="12" t="str">
        <f>VLOOKUP($A77,Engine!$D:$H,5,FALSE)</f>
        <v>MadFoxEyes</v>
      </c>
      <c r="F77" s="99"/>
      <c r="G77" s="13">
        <f>L77-VLOOKUP($A77,Engine!$D:$S,15,FALSE)</f>
        <v>0</v>
      </c>
      <c r="H77" s="13">
        <f>N77-VLOOKUP($A77,Engine!$D:$S,16,FALSE)</f>
        <v>20</v>
      </c>
      <c r="I77" s="14"/>
      <c r="J77" s="13" t="str">
        <f>IF(VLOOKUP(E77,Engine!H:Q,10,FALSE)=0,"",VLOOKUP(E77,Engine!H:Q,10,FALSE))</f>
        <v>No Tips</v>
      </c>
      <c r="K77" s="100" t="str">
        <f t="shared" si="7"/>
        <v/>
      </c>
      <c r="L77" s="12">
        <f>VLOOKUP($A77,Engine!$D:$Z,22,FALSE)</f>
        <v>42</v>
      </c>
      <c r="M77" s="101"/>
      <c r="N77" s="12">
        <f>VLOOKUP($A77,Engine!$D:$Z,23,FALSE)</f>
        <v>1298</v>
      </c>
    </row>
    <row r="78" spans="1:14" x14ac:dyDescent="0.3">
      <c r="A78" s="96">
        <f t="shared" si="5"/>
        <v>64</v>
      </c>
      <c r="B78" s="12">
        <f t="shared" si="6"/>
        <v>64</v>
      </c>
      <c r="C78" s="97" t="str">
        <f>VLOOKUP($A78,Engine!$D:$H,2,FALSE)</f>
        <v>u</v>
      </c>
      <c r="D78" s="98" t="str">
        <f>VLOOKUP($A78,Engine!$D:$H,3,FALSE)</f>
        <v/>
      </c>
      <c r="E78" s="12" t="str">
        <f>VLOOKUP($A78,Engine!$D:$H,5,FALSE)</f>
        <v>sharkies.fan</v>
      </c>
      <c r="F78" s="99"/>
      <c r="G78" s="13">
        <f>L78-VLOOKUP($A78,Engine!$D:$S,15,FALSE)</f>
        <v>1</v>
      </c>
      <c r="H78" s="13">
        <f>N78-VLOOKUP($A78,Engine!$D:$S,16,FALSE)</f>
        <v>34</v>
      </c>
      <c r="I78" s="14"/>
      <c r="J78" s="13" t="str">
        <f>IF(VLOOKUP(E78,Engine!H:Q,10,FALSE)=0,"",VLOOKUP(E78,Engine!H:Q,10,FALSE))</f>
        <v>Eels</v>
      </c>
      <c r="K78" s="100" t="str">
        <f t="shared" si="7"/>
        <v/>
      </c>
      <c r="L78" s="12">
        <f>VLOOKUP($A78,Engine!$D:$Z,22,FALSE)</f>
        <v>40</v>
      </c>
      <c r="M78" s="101"/>
      <c r="N78" s="12">
        <f>VLOOKUP($A78,Engine!$D:$Z,23,FALSE)</f>
        <v>1467</v>
      </c>
    </row>
    <row r="79" spans="1:14" x14ac:dyDescent="0.3">
      <c r="A79" s="96">
        <f t="shared" si="5"/>
        <v>65</v>
      </c>
      <c r="B79" s="12">
        <f t="shared" si="6"/>
        <v>65</v>
      </c>
      <c r="C79" s="97" t="str">
        <f>VLOOKUP($A79,Engine!$D:$H,2,FALSE)</f>
        <v>u</v>
      </c>
      <c r="D79" s="98" t="str">
        <f>VLOOKUP($A79,Engine!$D:$H,3,FALSE)</f>
        <v/>
      </c>
      <c r="E79" s="12" t="str">
        <f>VLOOKUP($A79,Engine!$D:$H,5,FALSE)</f>
        <v>Splinter</v>
      </c>
      <c r="F79" s="99"/>
      <c r="G79" s="13">
        <f>L79-VLOOKUP($A79,Engine!$D:$S,15,FALSE)</f>
        <v>1</v>
      </c>
      <c r="H79" s="13">
        <f>N79-VLOOKUP($A79,Engine!$D:$S,16,FALSE)</f>
        <v>34</v>
      </c>
      <c r="I79" s="14"/>
      <c r="J79" s="13" t="str">
        <f>IF(VLOOKUP(E79,Engine!H:Q,10,FALSE)=0,"",VLOOKUP(E79,Engine!H:Q,10,FALSE))</f>
        <v>Panthers</v>
      </c>
      <c r="K79" s="100" t="str">
        <f t="shared" si="7"/>
        <v/>
      </c>
      <c r="L79" s="12">
        <f>VLOOKUP($A79,Engine!$D:$Z,22,FALSE)</f>
        <v>40</v>
      </c>
      <c r="M79" s="101"/>
      <c r="N79" s="12">
        <f>VLOOKUP($A79,Engine!$D:$Z,23,FALSE)</f>
        <v>1367</v>
      </c>
    </row>
    <row r="80" spans="1:14" x14ac:dyDescent="0.3">
      <c r="A80" s="96">
        <f t="shared" si="5"/>
        <v>66</v>
      </c>
      <c r="B80" s="12">
        <f t="shared" si="6"/>
        <v>66</v>
      </c>
      <c r="C80" s="97" t="str">
        <f>VLOOKUP($A80,Engine!$D:$H,2,FALSE)</f>
        <v>u</v>
      </c>
      <c r="D80" s="98" t="str">
        <f>VLOOKUP($A80,Engine!$D:$H,3,FALSE)</f>
        <v/>
      </c>
      <c r="E80" s="12" t="str">
        <f>VLOOKUP($A80,Engine!$D:$H,5,FALSE)</f>
        <v>Bart Simpson</v>
      </c>
      <c r="F80" s="99"/>
      <c r="G80" s="13">
        <f>L80-VLOOKUP($A80,Engine!$D:$S,15,FALSE)</f>
        <v>1</v>
      </c>
      <c r="H80" s="13">
        <f>N80-VLOOKUP($A80,Engine!$D:$S,16,FALSE)</f>
        <v>34</v>
      </c>
      <c r="I80" s="14"/>
      <c r="J80" s="13" t="str">
        <f>IF(VLOOKUP(E80,Engine!H:Q,10,FALSE)=0,"",VLOOKUP(E80,Engine!H:Q,10,FALSE))</f>
        <v>Eels</v>
      </c>
      <c r="K80" s="100" t="str">
        <f t="shared" si="7"/>
        <v/>
      </c>
      <c r="L80" s="12">
        <f>VLOOKUP($A80,Engine!$D:$Z,22,FALSE)</f>
        <v>40</v>
      </c>
      <c r="M80" s="101"/>
      <c r="N80" s="12">
        <f>VLOOKUP($A80,Engine!$D:$Z,23,FALSE)</f>
        <v>1363</v>
      </c>
    </row>
    <row r="81" spans="1:14" x14ac:dyDescent="0.3">
      <c r="A81" s="96">
        <f t="shared" ref="A81:A89" si="8">A80+1</f>
        <v>67</v>
      </c>
      <c r="B81" s="12">
        <f t="shared" si="6"/>
        <v>67</v>
      </c>
      <c r="C81" s="97" t="str">
        <f>VLOOKUP($A81,Engine!$D:$H,2,FALSE)</f>
        <v>u</v>
      </c>
      <c r="D81" s="98" t="str">
        <f>VLOOKUP($A81,Engine!$D:$H,3,FALSE)</f>
        <v/>
      </c>
      <c r="E81" s="12" t="str">
        <f>VLOOKUP($A81,Engine!$D:$H,5,FALSE)</f>
        <v>Fouad Khochaiche</v>
      </c>
      <c r="F81" s="99"/>
      <c r="G81" s="13">
        <f>L81-VLOOKUP($A81,Engine!$D:$S,15,FALSE)</f>
        <v>1</v>
      </c>
      <c r="H81" s="13">
        <f>N81-VLOOKUP($A81,Engine!$D:$S,16,FALSE)</f>
        <v>34</v>
      </c>
      <c r="I81" s="14"/>
      <c r="J81" s="13" t="str">
        <f>IF(VLOOKUP(E81,Engine!H:Q,10,FALSE)=0,"",VLOOKUP(E81,Engine!H:Q,10,FALSE))</f>
        <v>Eels</v>
      </c>
      <c r="K81" s="100" t="str">
        <f t="shared" si="7"/>
        <v/>
      </c>
      <c r="L81" s="12">
        <f>VLOOKUP($A81,Engine!$D:$Z,22,FALSE)</f>
        <v>39</v>
      </c>
      <c r="M81" s="101"/>
      <c r="N81" s="12">
        <f>VLOOKUP($A81,Engine!$D:$Z,23,FALSE)</f>
        <v>1494</v>
      </c>
    </row>
    <row r="82" spans="1:14" x14ac:dyDescent="0.3">
      <c r="A82" s="96">
        <f t="shared" si="8"/>
        <v>68</v>
      </c>
      <c r="B82" s="12">
        <f t="shared" si="6"/>
        <v>68</v>
      </c>
      <c r="C82" s="97" t="str">
        <f>VLOOKUP($A82,Engine!$D:$H,2,FALSE)</f>
        <v>u</v>
      </c>
      <c r="D82" s="98" t="str">
        <f>VLOOKUP($A82,Engine!$D:$H,3,FALSE)</f>
        <v/>
      </c>
      <c r="E82" s="12" t="str">
        <f>VLOOKUP($A82,Engine!$D:$H,5,FALSE)</f>
        <v>BillyB</v>
      </c>
      <c r="F82" s="99"/>
      <c r="G82" s="13">
        <f>L82-VLOOKUP($A82,Engine!$D:$S,15,FALSE)</f>
        <v>1</v>
      </c>
      <c r="H82" s="13">
        <f>N82-VLOOKUP($A82,Engine!$D:$S,16,FALSE)</f>
        <v>34</v>
      </c>
      <c r="I82" s="14"/>
      <c r="J82" s="13" t="str">
        <f>IF(VLOOKUP(E82,Engine!H:Q,10,FALSE)=0,"",VLOOKUP(E82,Engine!H:Q,10,FALSE))</f>
        <v>Storm</v>
      </c>
      <c r="K82" s="100" t="str">
        <f t="shared" si="7"/>
        <v/>
      </c>
      <c r="L82" s="12">
        <f>VLOOKUP($A82,Engine!$D:$Z,22,FALSE)</f>
        <v>39</v>
      </c>
      <c r="M82" s="101"/>
      <c r="N82" s="12">
        <f>VLOOKUP($A82,Engine!$D:$Z,23,FALSE)</f>
        <v>1453</v>
      </c>
    </row>
    <row r="83" spans="1:14" x14ac:dyDescent="0.3">
      <c r="A83" s="96">
        <f t="shared" si="8"/>
        <v>69</v>
      </c>
      <c r="B83" s="12">
        <f t="shared" si="6"/>
        <v>69</v>
      </c>
      <c r="C83" s="97" t="str">
        <f>VLOOKUP($A83,Engine!$D:$H,2,FALSE)</f>
        <v>p</v>
      </c>
      <c r="D83" s="98">
        <f>VLOOKUP($A83,Engine!$D:$H,3,FALSE)</f>
        <v>3</v>
      </c>
      <c r="E83" s="12" t="str">
        <f>VLOOKUP($A83,Engine!$D:$H,5,FALSE)</f>
        <v>isha68</v>
      </c>
      <c r="F83" s="99"/>
      <c r="G83" s="13">
        <f>L83-VLOOKUP($A83,Engine!$D:$S,15,FALSE)</f>
        <v>3</v>
      </c>
      <c r="H83" s="13">
        <f>N83-VLOOKUP($A83,Engine!$D:$S,16,FALSE)</f>
        <v>34</v>
      </c>
      <c r="I83" s="14"/>
      <c r="J83" s="13" t="str">
        <f>IF(VLOOKUP(E83,Engine!H:Q,10,FALSE)=0,"",VLOOKUP(E83,Engine!H:Q,10,FALSE))</f>
        <v>Rabbitohs</v>
      </c>
      <c r="K83" s="100" t="str">
        <f t="shared" si="7"/>
        <v>ü</v>
      </c>
      <c r="L83" s="12">
        <f>VLOOKUP($A83,Engine!$D:$Z,22,FALSE)</f>
        <v>35</v>
      </c>
      <c r="M83" s="101"/>
      <c r="N83" s="12">
        <f>VLOOKUP($A83,Engine!$D:$Z,23,FALSE)</f>
        <v>1185</v>
      </c>
    </row>
    <row r="84" spans="1:14" x14ac:dyDescent="0.3">
      <c r="A84" s="96">
        <f t="shared" si="8"/>
        <v>70</v>
      </c>
      <c r="B84" s="12">
        <f t="shared" ref="B84:B89" si="9">A84</f>
        <v>70</v>
      </c>
      <c r="C84" s="97" t="str">
        <f>VLOOKUP($A84,Engine!$D:$H,2,FALSE)</f>
        <v>q</v>
      </c>
      <c r="D84" s="98">
        <f>VLOOKUP($A84,Engine!$D:$H,3,FALSE)</f>
        <v>1</v>
      </c>
      <c r="E84" s="12" t="str">
        <f>VLOOKUP($A84,Engine!$D:$H,5,FALSE)</f>
        <v>BigBadBenji</v>
      </c>
      <c r="F84" s="99"/>
      <c r="G84" s="13">
        <f>L84-VLOOKUP($A84,Engine!$D:$S,15,FALSE)</f>
        <v>0</v>
      </c>
      <c r="H84" s="13">
        <f>N84-VLOOKUP($A84,Engine!$D:$S,16,FALSE)</f>
        <v>20</v>
      </c>
      <c r="I84" s="14"/>
      <c r="J84" s="13" t="str">
        <f>IF(VLOOKUP(E84,Engine!H:Q,10,FALSE)=0,"",VLOOKUP(E84,Engine!H:Q,10,FALSE))</f>
        <v>Panthers</v>
      </c>
      <c r="K84" s="100" t="str">
        <f t="shared" ref="K84:K89" si="10">IF(COUNTIF(P$4:P$11,J84)=1,R$6,IF(COUNTIF(Q$4:Q$11,J84)=1,R$7,""))</f>
        <v/>
      </c>
      <c r="L84" s="12">
        <f>VLOOKUP($A84,Engine!$D:$Z,22,FALSE)</f>
        <v>34</v>
      </c>
      <c r="M84" s="101"/>
      <c r="N84" s="12">
        <f>VLOOKUP($A84,Engine!$D:$Z,23,FALSE)</f>
        <v>1307</v>
      </c>
    </row>
    <row r="85" spans="1:14" x14ac:dyDescent="0.3">
      <c r="A85" s="96">
        <f t="shared" si="8"/>
        <v>71</v>
      </c>
      <c r="B85" s="12">
        <f t="shared" si="9"/>
        <v>71</v>
      </c>
      <c r="C85" s="97" t="str">
        <f>VLOOKUP($A85,Engine!$D:$H,2,FALSE)</f>
        <v>q</v>
      </c>
      <c r="D85" s="98">
        <f>VLOOKUP($A85,Engine!$D:$H,3,FALSE)</f>
        <v>1</v>
      </c>
      <c r="E85" s="12" t="str">
        <f>VLOOKUP($A85,Engine!$D:$H,5,FALSE)</f>
        <v>MLC</v>
      </c>
      <c r="F85" s="99"/>
      <c r="G85" s="13">
        <f>L85-VLOOKUP($A85,Engine!$D:$S,15,FALSE)</f>
        <v>0</v>
      </c>
      <c r="H85" s="13">
        <f>N85-VLOOKUP($A85,Engine!$D:$S,16,FALSE)</f>
        <v>20</v>
      </c>
      <c r="I85" s="14"/>
      <c r="J85" s="13" t="str">
        <f>IF(VLOOKUP(E85,Engine!H:Q,10,FALSE)=0,"",VLOOKUP(E85,Engine!H:Q,10,FALSE))</f>
        <v>Storm</v>
      </c>
      <c r="K85" s="100" t="str">
        <f t="shared" si="10"/>
        <v/>
      </c>
      <c r="L85" s="12">
        <f>VLOOKUP($A85,Engine!$D:$Z,22,FALSE)</f>
        <v>34</v>
      </c>
      <c r="M85" s="101"/>
      <c r="N85" s="12">
        <f>VLOOKUP($A85,Engine!$D:$Z,23,FALSE)</f>
        <v>1271</v>
      </c>
    </row>
    <row r="86" spans="1:14" x14ac:dyDescent="0.3">
      <c r="A86" s="96">
        <f t="shared" si="8"/>
        <v>72</v>
      </c>
      <c r="B86" s="12">
        <f t="shared" si="9"/>
        <v>72</v>
      </c>
      <c r="C86" s="97" t="str">
        <f>VLOOKUP($A86,Engine!$D:$H,2,FALSE)</f>
        <v>q</v>
      </c>
      <c r="D86" s="98">
        <f>VLOOKUP($A86,Engine!$D:$H,3,FALSE)</f>
        <v>1</v>
      </c>
      <c r="E86" s="12" t="str">
        <f>VLOOKUP($A86,Engine!$D:$H,5,FALSE)</f>
        <v>***Footy Tipper***</v>
      </c>
      <c r="F86" s="99"/>
      <c r="G86" s="13">
        <f>L86-VLOOKUP($A86,Engine!$D:$S,15,FALSE)</f>
        <v>1</v>
      </c>
      <c r="H86" s="13">
        <f>N86-VLOOKUP($A86,Engine!$D:$S,16,FALSE)</f>
        <v>34</v>
      </c>
      <c r="I86" s="14"/>
      <c r="J86" s="13" t="str">
        <f>IF(VLOOKUP(E86,Engine!H:Q,10,FALSE)=0,"",VLOOKUP(E86,Engine!H:Q,10,FALSE))</f>
        <v>Eels</v>
      </c>
      <c r="K86" s="100" t="str">
        <f t="shared" si="10"/>
        <v/>
      </c>
      <c r="L86" s="12">
        <f>VLOOKUP($A86,Engine!$D:$Z,22,FALSE)</f>
        <v>33</v>
      </c>
      <c r="M86" s="101"/>
      <c r="N86" s="12">
        <f>VLOOKUP($A86,Engine!$D:$Z,23,FALSE)</f>
        <v>1425</v>
      </c>
    </row>
    <row r="87" spans="1:14" x14ac:dyDescent="0.3">
      <c r="A87" s="96">
        <f t="shared" si="8"/>
        <v>73</v>
      </c>
      <c r="B87" s="12">
        <f t="shared" si="9"/>
        <v>73</v>
      </c>
      <c r="C87" s="97" t="str">
        <f>VLOOKUP($A87,Engine!$D:$H,2,FALSE)</f>
        <v>u</v>
      </c>
      <c r="D87" s="98" t="str">
        <f>VLOOKUP($A87,Engine!$D:$H,3,FALSE)</f>
        <v/>
      </c>
      <c r="E87" s="12" t="str">
        <f>VLOOKUP($A87,Engine!$D:$H,5,FALSE)</f>
        <v>ThePhantom</v>
      </c>
      <c r="F87" s="99"/>
      <c r="G87" s="13">
        <f>L87-VLOOKUP($A87,Engine!$D:$S,15,FALSE)</f>
        <v>0</v>
      </c>
      <c r="H87" s="13">
        <f>N87-VLOOKUP($A87,Engine!$D:$S,16,FALSE)</f>
        <v>20</v>
      </c>
      <c r="I87" s="14"/>
      <c r="J87" s="13" t="str">
        <f>IF(VLOOKUP(E87,Engine!H:Q,10,FALSE)=0,"",VLOOKUP(E87,Engine!H:Q,10,FALSE))</f>
        <v>No Tips</v>
      </c>
      <c r="K87" s="100" t="str">
        <f t="shared" si="10"/>
        <v/>
      </c>
      <c r="L87" s="12">
        <f>VLOOKUP($A87,Engine!$D:$Z,22,FALSE)</f>
        <v>19</v>
      </c>
      <c r="M87" s="101"/>
      <c r="N87" s="12">
        <f>VLOOKUP($A87,Engine!$D:$Z,23,FALSE)</f>
        <v>1174</v>
      </c>
    </row>
    <row r="88" spans="1:14" x14ac:dyDescent="0.3">
      <c r="A88" s="96">
        <f t="shared" si="8"/>
        <v>74</v>
      </c>
      <c r="B88" s="12">
        <f t="shared" si="9"/>
        <v>74</v>
      </c>
      <c r="C88" s="97" t="str">
        <f>VLOOKUP($A88,Engine!$D:$H,2,FALSE)</f>
        <v>u</v>
      </c>
      <c r="D88" s="98" t="str">
        <f>VLOOKUP($A88,Engine!$D:$H,3,FALSE)</f>
        <v/>
      </c>
      <c r="E88" s="12" t="str">
        <f>VLOOKUP($A88,Engine!$D:$H,5,FALSE)</f>
        <v>chur_moi</v>
      </c>
      <c r="F88" s="99"/>
      <c r="G88" s="13">
        <f>L88-VLOOKUP($A88,Engine!$D:$S,15,FALSE)</f>
        <v>0</v>
      </c>
      <c r="H88" s="13">
        <f>N88-VLOOKUP($A88,Engine!$D:$S,16,FALSE)</f>
        <v>20</v>
      </c>
      <c r="I88" s="14"/>
      <c r="J88" s="13" t="str">
        <f>IF(VLOOKUP(E88,Engine!H:Q,10,FALSE)=0,"",VLOOKUP(E88,Engine!H:Q,10,FALSE))</f>
        <v>No Tips</v>
      </c>
      <c r="K88" s="100" t="str">
        <f t="shared" si="10"/>
        <v/>
      </c>
      <c r="L88" s="12">
        <f>VLOOKUP($A88,Engine!$D:$Z,22,FALSE)</f>
        <v>19</v>
      </c>
      <c r="M88" s="101"/>
      <c r="N88" s="12">
        <f>VLOOKUP($A88,Engine!$D:$Z,23,FALSE)</f>
        <v>1131</v>
      </c>
    </row>
    <row r="89" spans="1:14" x14ac:dyDescent="0.3">
      <c r="A89" s="96">
        <f t="shared" si="8"/>
        <v>75</v>
      </c>
      <c r="B89" s="12">
        <f t="shared" si="9"/>
        <v>75</v>
      </c>
      <c r="C89" s="97" t="str">
        <f>VLOOKUP($A89,Engine!$D:$H,2,FALSE)</f>
        <v>u</v>
      </c>
      <c r="D89" s="98" t="str">
        <f>VLOOKUP($A89,Engine!$D:$H,3,FALSE)</f>
        <v/>
      </c>
      <c r="E89" s="12" t="str">
        <f>VLOOKUP($A89,Engine!$D:$H,5,FALSE)</f>
        <v>Mrs Cooper</v>
      </c>
      <c r="F89" s="99"/>
      <c r="G89" s="13">
        <f>L89-VLOOKUP($A89,Engine!$D:$S,15,FALSE)</f>
        <v>0</v>
      </c>
      <c r="H89" s="13">
        <f>N89-VLOOKUP($A89,Engine!$D:$S,16,FALSE)</f>
        <v>20</v>
      </c>
      <c r="I89" s="14"/>
      <c r="J89" s="13" t="str">
        <f>IF(VLOOKUP(E89,Engine!H:Q,10,FALSE)=0,"",VLOOKUP(E89,Engine!H:Q,10,FALSE))</f>
        <v>No Tips</v>
      </c>
      <c r="K89" s="100" t="str">
        <f t="shared" si="10"/>
        <v/>
      </c>
      <c r="L89" s="12">
        <f>VLOOKUP($A89,Engine!$D:$Z,22,FALSE)</f>
        <v>13</v>
      </c>
      <c r="M89" s="101"/>
      <c r="N89" s="12">
        <f>VLOOKUP($A89,Engine!$D:$Z,23,FALSE)</f>
        <v>1043</v>
      </c>
    </row>
  </sheetData>
  <sheetProtection algorithmName="SHA-512" hashValue="y/rypy4YfHf85s638Pm+sV1c70bBCPjkM/Rs29FWAb+Pm4XFcGio2quM8KXKdz/FTkaxk/hQNL4mqy8gIOrZ9Q==" saltValue="0RHAFynfDNIsfL0oWP5ByQ=="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E4:E11 B4:B11">
    <cfRule type="cellIs" dxfId="45" priority="88" stopIfTrue="1" operator="equal">
      <formula>#REF!</formula>
    </cfRule>
    <cfRule type="cellIs" dxfId="44" priority="89" stopIfTrue="1" operator="equal">
      <formula>#REF!</formula>
    </cfRule>
    <cfRule type="cellIs" dxfId="43" priority="90" stopIfTrue="1" operator="equal">
      <formula>"ERROR"</formula>
    </cfRule>
  </conditionalFormatting>
  <conditionalFormatting sqref="L15:L46 B15:B46 E15:E46 G15:H46 J15:J46 N15:N46">
    <cfRule type="expression" dxfId="42" priority="37" stopIfTrue="1">
      <formula>$C15=$R$4</formula>
    </cfRule>
    <cfRule type="expression" dxfId="41" priority="38" stopIfTrue="1">
      <formula>$C15=$R$3</formula>
    </cfRule>
  </conditionalFormatting>
  <conditionalFormatting sqref="C15:D46">
    <cfRule type="expression" dxfId="40" priority="102">
      <formula>$C15=$R$4</formula>
    </cfRule>
    <cfRule type="expression" dxfId="39" priority="103">
      <formula>$C15=$R$3</formula>
    </cfRule>
  </conditionalFormatting>
  <conditionalFormatting sqref="K15:K46">
    <cfRule type="expression" dxfId="38" priority="104">
      <formula>$K15=$R$7</formula>
    </cfRule>
  </conditionalFormatting>
  <conditionalFormatting sqref="M4:N4">
    <cfRule type="expression" dxfId="37" priority="30">
      <formula>$M$4=$R$5</formula>
    </cfRule>
    <cfRule type="expression" dxfId="36" priority="31">
      <formula>$M$4=$R$4</formula>
    </cfRule>
    <cfRule type="expression" dxfId="35" priority="32">
      <formula>$M$4=$R$3</formula>
    </cfRule>
  </conditionalFormatting>
  <conditionalFormatting sqref="G8:H8 J8 L8 N8">
    <cfRule type="expression" dxfId="34" priority="27">
      <formula>$M$4=$R$5</formula>
    </cfRule>
    <cfRule type="expression" dxfId="33" priority="28">
      <formula>$M$4=$R$4</formula>
    </cfRule>
    <cfRule type="expression" dxfId="32" priority="29">
      <formula>$M$4=$R$3</formula>
    </cfRule>
  </conditionalFormatting>
  <conditionalFormatting sqref="K8">
    <cfRule type="expression" dxfId="31" priority="23">
      <formula>$K8=$R$7</formula>
    </cfRule>
  </conditionalFormatting>
  <conditionalFormatting sqref="L4">
    <cfRule type="expression" dxfId="30" priority="20">
      <formula>$M$4=$R$5</formula>
    </cfRule>
    <cfRule type="expression" dxfId="29" priority="21">
      <formula>$M$4=$R$4</formula>
    </cfRule>
    <cfRule type="expression" dxfId="28" priority="22">
      <formula>$M$4=$R$3</formula>
    </cfRule>
  </conditionalFormatting>
  <conditionalFormatting sqref="C11:D11">
    <cfRule type="expression" dxfId="27" priority="19">
      <formula>$T$3&lt;8</formula>
    </cfRule>
  </conditionalFormatting>
  <conditionalFormatting sqref="C10:D10">
    <cfRule type="expression" dxfId="26" priority="18">
      <formula>$T$3&lt;7</formula>
    </cfRule>
  </conditionalFormatting>
  <conditionalFormatting sqref="C9:D9">
    <cfRule type="expression" dxfId="25" priority="17">
      <formula>$T$3&lt;6</formula>
    </cfRule>
  </conditionalFormatting>
  <conditionalFormatting sqref="C8:D8">
    <cfRule type="expression" dxfId="24" priority="16">
      <formula>$T$3&lt;5</formula>
    </cfRule>
  </conditionalFormatting>
  <conditionalFormatting sqref="L47:L83 B47:B83 E47:E83 G47:H83 J47:J83 N47:N83">
    <cfRule type="expression" dxfId="23" priority="11" stopIfTrue="1">
      <formula>$C47=$R$4</formula>
    </cfRule>
    <cfRule type="expression" dxfId="22" priority="12" stopIfTrue="1">
      <formula>$C47=$R$3</formula>
    </cfRule>
  </conditionalFormatting>
  <conditionalFormatting sqref="C47:D83">
    <cfRule type="expression" dxfId="21" priority="13">
      <formula>$C47=$R$4</formula>
    </cfRule>
    <cfRule type="expression" dxfId="20" priority="14">
      <formula>$C47=$R$3</formula>
    </cfRule>
  </conditionalFormatting>
  <conditionalFormatting sqref="K47:K83">
    <cfRule type="expression" dxfId="19" priority="15">
      <formula>$K47=$R$7</formula>
    </cfRule>
  </conditionalFormatting>
  <conditionalFormatting sqref="L84:L88 B84:B88 E84:E88 G84:H88 J84:J88 N84:N88">
    <cfRule type="expression" dxfId="18" priority="6" stopIfTrue="1">
      <formula>$C84=$R$4</formula>
    </cfRule>
    <cfRule type="expression" dxfId="17" priority="7" stopIfTrue="1">
      <formula>$C84=$R$3</formula>
    </cfRule>
  </conditionalFormatting>
  <conditionalFormatting sqref="C84:D88">
    <cfRule type="expression" dxfId="16" priority="8">
      <formula>$C84=$R$4</formula>
    </cfRule>
    <cfRule type="expression" dxfId="15" priority="9">
      <formula>$C84=$R$3</formula>
    </cfRule>
  </conditionalFormatting>
  <conditionalFormatting sqref="K84:K88">
    <cfRule type="expression" dxfId="14" priority="10">
      <formula>$K84=$R$7</formula>
    </cfRule>
  </conditionalFormatting>
  <conditionalFormatting sqref="L89 B89 E89 G89:H89 J89 N89">
    <cfRule type="expression" dxfId="13" priority="1" stopIfTrue="1">
      <formula>$C89=$R$4</formula>
    </cfRule>
    <cfRule type="expression" dxfId="12" priority="2" stopIfTrue="1">
      <formula>$C89=$R$3</formula>
    </cfRule>
  </conditionalFormatting>
  <conditionalFormatting sqref="C89:D89">
    <cfRule type="expression" dxfId="11" priority="3">
      <formula>$C89=$R$4</formula>
    </cfRule>
    <cfRule type="expression" dxfId="10" priority="4">
      <formula>$C89=$R$3</formula>
    </cfRule>
  </conditionalFormatting>
  <conditionalFormatting sqref="K89">
    <cfRule type="expression" dxfId="9" priority="5">
      <formula>$K89=$R$7</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2" workbookViewId="0">
      <selection activeCell="G2" sqref="G2:S94"/>
    </sheetView>
  </sheetViews>
  <sheetFormatPr defaultRowHeight="14.4" x14ac:dyDescent="0.3"/>
  <cols>
    <col min="3" max="3" width="46" style="161" bestFit="1" customWidth="1"/>
    <col min="8" max="8" width="17.44140625" bestFit="1" customWidth="1"/>
    <col min="9" max="9" width="9.21875" style="5" bestFit="1" customWidth="1"/>
    <col min="10" max="10" width="7.5546875" style="5" bestFit="1" customWidth="1"/>
    <col min="11" max="11" width="11.21875" style="5" bestFit="1" customWidth="1"/>
    <col min="12" max="12" width="7" style="5" bestFit="1" customWidth="1"/>
    <col min="13" max="13" width="10" style="5" bestFit="1" customWidth="1"/>
    <col min="14" max="14" width="6.77734375" style="5" bestFit="1" customWidth="1"/>
    <col min="15" max="15" width="7.77734375" style="5" bestFit="1" customWidth="1"/>
    <col min="16" max="16" width="8.21875" style="5" bestFit="1" customWidth="1"/>
    <col min="17" max="17" width="11.44140625" style="5" bestFit="1" customWidth="1"/>
    <col min="18" max="18" width="8.77734375" style="3"/>
    <col min="19" max="19" width="8.77734375" style="1"/>
    <col min="20" max="20" width="9.6640625" style="1" bestFit="1" customWidth="1"/>
    <col min="21" max="21" width="10.109375" style="1" bestFit="1" customWidth="1"/>
    <col min="22" max="22" width="8.77734375" style="1"/>
    <col min="23" max="23" width="8.77734375" style="15"/>
    <col min="24" max="24" width="8.77734375" style="1"/>
    <col min="27" max="27" width="17.21875" style="161"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61" t="s">
        <v>59</v>
      </c>
      <c r="D1" t="s">
        <v>6</v>
      </c>
      <c r="E1" t="s">
        <v>13</v>
      </c>
      <c r="F1" t="s">
        <v>17</v>
      </c>
      <c r="G1" t="s">
        <v>60</v>
      </c>
      <c r="H1" t="s">
        <v>61</v>
      </c>
      <c r="I1" s="10">
        <v>1</v>
      </c>
      <c r="J1" s="10">
        <v>2</v>
      </c>
      <c r="K1" s="10">
        <v>3</v>
      </c>
      <c r="L1" s="10">
        <v>4</v>
      </c>
      <c r="M1" s="10">
        <v>5</v>
      </c>
      <c r="N1" s="10">
        <v>6</v>
      </c>
      <c r="O1" s="10">
        <v>7</v>
      </c>
      <c r="P1" s="10">
        <v>8</v>
      </c>
      <c r="Q1" s="9"/>
      <c r="R1" s="3" t="s">
        <v>2</v>
      </c>
      <c r="S1" s="15" t="s">
        <v>1</v>
      </c>
      <c r="T1" s="1" t="s">
        <v>10</v>
      </c>
      <c r="U1" s="1" t="s">
        <v>11</v>
      </c>
      <c r="V1" s="1" t="s">
        <v>19</v>
      </c>
      <c r="W1" s="15" t="s">
        <v>2</v>
      </c>
      <c r="X1" s="1" t="s">
        <v>1</v>
      </c>
      <c r="Y1" t="s">
        <v>4</v>
      </c>
      <c r="Z1" t="s">
        <v>5</v>
      </c>
      <c r="AA1" s="161"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4</v>
      </c>
      <c r="C2" s="161">
        <f>IF(H2="ZZZZZZ Suspend","",R2+(S2/100000)+(G2/1000000000))</f>
        <v>54.014890092999998</v>
      </c>
      <c r="D2">
        <f t="shared" ref="D2:D33" si="1">IF(H2="ZZZZZZ Suspend","",RANK(AA2,AA:AA))</f>
        <v>4</v>
      </c>
      <c r="E2" s="4" t="str">
        <f>IF(H2="ZZZZZZ Suspend","",IF(D2&lt;B2,AD$3,IF(D2&gt;B2,AD$4,AD$5)))</f>
        <v>u</v>
      </c>
      <c r="F2" t="str">
        <f t="shared" ref="F2" si="2">IF(H2="ZZZZZZ Suspend","",IF(D2&gt;B2,D2-B2,IF(D2&lt;B2,B2-D2,"")))</f>
        <v/>
      </c>
      <c r="G2">
        <v>93</v>
      </c>
      <c r="H2" t="str">
        <f>Data!A3</f>
        <v>786Om</v>
      </c>
      <c r="I2" s="2" t="str">
        <f>Data!C3</f>
        <v>Rabbitohs</v>
      </c>
      <c r="J2" s="2" t="str">
        <f>Data!D3</f>
        <v>Storm</v>
      </c>
      <c r="K2" s="2" t="str">
        <f>Data!E3</f>
        <v>Titans</v>
      </c>
      <c r="L2" s="2" t="str">
        <f>IF(Data!$S$3&lt;Engine!L$1,0,Data!F3)</f>
        <v>Panthers</v>
      </c>
      <c r="M2" s="2" t="str">
        <f>IF(Data!$S$3&lt;Engine!M$1,0,Data!G3)</f>
        <v>Eels</v>
      </c>
      <c r="N2" s="2" t="str">
        <f>IF(Data!$S$3&lt;Engine!N$1,0,Data!H3)</f>
        <v>Roosters</v>
      </c>
      <c r="O2" s="2" t="str">
        <f>IF(Data!$S$3&lt;Engine!O$1,0,Data!I3)</f>
        <v>Warriors</v>
      </c>
      <c r="P2" s="2" t="str">
        <f>IF(Data!$S$3&lt;Engine!P$1,0,Data!J3)</f>
        <v>Dragons</v>
      </c>
      <c r="Q2" s="17" t="str">
        <f>IF(Data!B3=1,Data!K3,"No Tips")</f>
        <v>Panthers</v>
      </c>
      <c r="R2" s="2">
        <f>Data!L3</f>
        <v>54</v>
      </c>
      <c r="S2" s="2">
        <f>Data!M3</f>
        <v>1489</v>
      </c>
      <c r="T2" s="15">
        <f>IF(I2="","",COUNTIF('Live Ladder'!P:P,I2)+COUNTIF('Live Ladder'!P:P,J2)+COUNTIF('Live Ladder'!P:P,K2)+COUNTIF('Live Ladder'!P:P,L2)+COUNTIF('Live Ladder'!P:P,M2)+COUNTIF('Live Ladder'!P:P,N2)+COUNTIF('Live Ladder'!P:P,O2)+COUNTIF('Live Ladder'!P:P,P2))</f>
        <v>1</v>
      </c>
      <c r="U2" s="15">
        <f>IF(I2="","",IF(COUNTIF('Live Ladder'!P:P,Engine!Q2)=1,2,IF(COUNTIF('Live Ladder'!Q:Q,Engine!Q2)=1,-2,0)))</f>
        <v>0</v>
      </c>
      <c r="V2" s="15">
        <f>IF(I2="","",IF(T2=Data!S$3,2,0))</f>
        <v>0</v>
      </c>
      <c r="W2" s="15">
        <f t="shared" ref="W2" si="3">IF(I2="",AD$2,SUM(T2:V2))</f>
        <v>1</v>
      </c>
      <c r="X2" s="1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34</v>
      </c>
      <c r="Y2">
        <f t="shared" ref="Y2:Y15" si="4">IF(H2="ZZZZZZ Suspend","",R2+W2)</f>
        <v>55</v>
      </c>
      <c r="Z2">
        <f t="shared" ref="Z2" si="5">IF(H2="ZZZZZZ Suspend","",S2+X2)</f>
        <v>1523</v>
      </c>
      <c r="AA2" s="161">
        <f>IF(H2="ZZZZZZ Suspend","",Y2+(Z2/100000)+(G2/1000000000))</f>
        <v>55.015230093</v>
      </c>
      <c r="AB2">
        <f t="shared" ref="AB2:AB3"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34</v>
      </c>
      <c r="AD2">
        <f>MIN(AB:AB)</f>
        <v>0</v>
      </c>
      <c r="AE2">
        <f>MIN(AC:AC)</f>
        <v>20</v>
      </c>
      <c r="AF2">
        <f>IF(I2="","",IF(Q2="",0,IF(AND(Q2&gt;0,COUNTIF('Stats Calculator'!$T$24:$AA$24,Q2)=1),HLOOKUP(Q2,'Stats Calculator'!$T$24:$AA$27,4,FALSE),IF(AND(Q2&gt;0,COUNTIF('Stats Calculator'!$T$25:$AA$25,Q2)=1),HLOOKUP(Q2,'Stats Calculator'!$T$25:$AA$27,3,FALSE)))))</f>
        <v>4</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2</v>
      </c>
      <c r="AL2">
        <f t="shared" ref="AL2" si="7">IF(I2="","",SUM(AG2:AK2))</f>
        <v>12</v>
      </c>
    </row>
    <row r="3" spans="1:38" x14ac:dyDescent="0.3">
      <c r="A3">
        <v>2</v>
      </c>
      <c r="B3">
        <f t="shared" si="0"/>
        <v>43</v>
      </c>
      <c r="C3" s="161">
        <f t="shared" ref="C3:C66" si="8">IF(H3="ZZZZZZ Suspend","",R3+(S3/100000)+(G3/1000000000))</f>
        <v>47.014490092000003</v>
      </c>
      <c r="D3">
        <f t="shared" si="1"/>
        <v>41</v>
      </c>
      <c r="E3" s="4" t="str">
        <f t="shared" ref="E3:E66" si="9">IF(H3="ZZZZZZ Suspend","",IF(D3&lt;B3,AD$3,IF(D3&gt;B3,AD$4,AD$5)))</f>
        <v>p</v>
      </c>
      <c r="F3">
        <f t="shared" ref="F3:F66" si="10">IF(H3="ZZZZZZ Suspend","",IF(D3&gt;B3,D3-B3,IF(D3&lt;B3,B3-D3,"")))</f>
        <v>2</v>
      </c>
      <c r="G3">
        <v>92</v>
      </c>
      <c r="H3" t="str">
        <f>Data!A4</f>
        <v>786Omkar</v>
      </c>
      <c r="I3" s="2" t="str">
        <f>Data!C4</f>
        <v>Rabbitohs</v>
      </c>
      <c r="J3" s="2" t="str">
        <f>Data!D4</f>
        <v>Storm</v>
      </c>
      <c r="K3" s="2" t="str">
        <f>Data!E4</f>
        <v>Titans</v>
      </c>
      <c r="L3" s="2" t="str">
        <f>IF(Data!$S$3&lt;Engine!L$1,0,Data!F4)</f>
        <v>Panthers</v>
      </c>
      <c r="M3" s="2" t="str">
        <f>IF(Data!$S$3&lt;Engine!M$1,0,Data!G4)</f>
        <v>Eels</v>
      </c>
      <c r="N3" s="2" t="str">
        <f>IF(Data!$S$3&lt;Engine!N$1,0,Data!H4)</f>
        <v>Roosters</v>
      </c>
      <c r="O3" s="2" t="str">
        <f>IF(Data!$S$3&lt;Engine!O$1,0,Data!I4)</f>
        <v>Warriors</v>
      </c>
      <c r="P3" s="2" t="str">
        <f>IF(Data!$S$3&lt;Engine!P$1,0,Data!J4)</f>
        <v>Dragons</v>
      </c>
      <c r="Q3" s="17" t="str">
        <f>IF(Data!B4=1,Data!K4,"No Tips")</f>
        <v>Eels</v>
      </c>
      <c r="R3" s="2">
        <f>Data!L4</f>
        <v>47</v>
      </c>
      <c r="S3" s="2">
        <f>Data!M4</f>
        <v>1449</v>
      </c>
      <c r="T3" s="15">
        <f>IF(I3="","",COUNTIF('Live Ladder'!P:P,I3)+COUNTIF('Live Ladder'!P:P,J3)+COUNTIF('Live Ladder'!P:P,K3)+COUNTIF('Live Ladder'!P:P,L3)+COUNTIF('Live Ladder'!P:P,M3)+COUNTIF('Live Ladder'!P:P,N3)+COUNTIF('Live Ladder'!P:P,O3)+COUNTIF('Live Ladder'!P:P,P3))</f>
        <v>1</v>
      </c>
      <c r="U3" s="15">
        <f>IF(I3="","",IF(COUNTIF('Live Ladder'!P:P,Engine!Q3)=1,2,IF(COUNTIF('Live Ladder'!Q:Q,Engine!Q3)=1,-2,0)))</f>
        <v>0</v>
      </c>
      <c r="V3" s="15">
        <f>IF(I3="","",IF(T3=Data!S$3,2,0))</f>
        <v>0</v>
      </c>
      <c r="W3" s="15">
        <f t="shared" ref="W3:W66" si="11">IF(I3="",AD$2,SUM(T3:V3))</f>
        <v>1</v>
      </c>
      <c r="X3" s="15">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34</v>
      </c>
      <c r="Y3">
        <f t="shared" si="4"/>
        <v>48</v>
      </c>
      <c r="Z3">
        <f t="shared" ref="Z3:Z66" si="12">IF(H3="ZZZZZZ Suspend","",S3+X3)</f>
        <v>1483</v>
      </c>
      <c r="AA3" s="161">
        <f t="shared" ref="AA3:AA66" si="13">IF(H3="ZZZZZZ Suspend","",Y3+(Z3/100000)+(G3/1000000000))</f>
        <v>48.014830092000004</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34</v>
      </c>
      <c r="AD3" s="4" t="s">
        <v>14</v>
      </c>
      <c r="AF3">
        <f>IF(I3="","",IF(Q3="",0,IF(AND(Q3&gt;0,COUNTIF('Stats Calculator'!$T$24:$AA$24,Q3)=1),HLOOKUP(Q3,'Stats Calculator'!$T$24:$AA$27,4,FALSE),IF(AND(Q3&gt;0,COUNTIF('Stats Calculator'!$T$25:$AA$25,Q3)=1),HLOOKUP(Q3,'Stats Calculator'!$T$25:$AA$27,3,FALSE)))))</f>
        <v>5</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2</v>
      </c>
      <c r="AL3">
        <f t="shared" ref="AL3:AL66" si="14">IF(I3="","",SUM(AG3:AK3))</f>
        <v>12</v>
      </c>
    </row>
    <row r="4" spans="1:38" x14ac:dyDescent="0.3">
      <c r="A4">
        <v>3</v>
      </c>
      <c r="B4">
        <f t="shared" si="0"/>
        <v>32</v>
      </c>
      <c r="C4" s="161">
        <f t="shared" si="8"/>
        <v>48.015050068000001</v>
      </c>
      <c r="D4">
        <f t="shared" si="1"/>
        <v>31</v>
      </c>
      <c r="E4" s="4" t="str">
        <f t="shared" si="9"/>
        <v>p</v>
      </c>
      <c r="F4">
        <f t="shared" si="10"/>
        <v>1</v>
      </c>
      <c r="G4">
        <v>68</v>
      </c>
      <c r="H4" t="str">
        <f>Data!A28</f>
        <v>9986</v>
      </c>
      <c r="I4" s="2" t="str">
        <f>Data!C28</f>
        <v>Rabbitohs</v>
      </c>
      <c r="J4" s="2" t="str">
        <f>Data!D28</f>
        <v>Storm</v>
      </c>
      <c r="K4" s="2" t="str">
        <f>Data!E28</f>
        <v>Titans</v>
      </c>
      <c r="L4" s="2" t="str">
        <f>IF(Data!$S$3&lt;Engine!L$1,0,Data!F28)</f>
        <v>Panthers</v>
      </c>
      <c r="M4" s="2" t="str">
        <f>IF(Data!$S$3&lt;Engine!M$1,0,Data!G28)</f>
        <v>Eels</v>
      </c>
      <c r="N4" s="2" t="str">
        <f>IF(Data!$S$3&lt;Engine!N$1,0,Data!H28)</f>
        <v>Roosters</v>
      </c>
      <c r="O4" s="2" t="str">
        <f>IF(Data!$S$3&lt;Engine!O$1,0,Data!I28)</f>
        <v>Cowboys</v>
      </c>
      <c r="P4" s="2" t="str">
        <f>IF(Data!$S$3&lt;Engine!P$1,0,Data!J28)</f>
        <v>Dragons</v>
      </c>
      <c r="Q4" s="17" t="str">
        <f>IF(Data!B28=1,Data!K28,"No Tips")</f>
        <v>Panthers</v>
      </c>
      <c r="R4" s="2">
        <f>Data!L28</f>
        <v>48</v>
      </c>
      <c r="S4" s="2">
        <f>Data!M28</f>
        <v>1505</v>
      </c>
      <c r="T4" s="15">
        <f>IF(I4="","",COUNTIF('Live Ladder'!P:P,I4)+COUNTIF('Live Ladder'!P:P,J4)+COUNTIF('Live Ladder'!P:P,K4)+COUNTIF('Live Ladder'!P:P,L4)+COUNTIF('Live Ladder'!P:P,M4)+COUNTIF('Live Ladder'!P:P,N4)+COUNTIF('Live Ladder'!P:P,O4)+COUNTIF('Live Ladder'!P:P,P4))</f>
        <v>1</v>
      </c>
      <c r="U4" s="15">
        <f>IF(I4="","",IF(COUNTIF('Live Ladder'!P:P,Engine!Q4)=1,2,IF(COUNTIF('Live Ladder'!Q:Q,Engine!Q4)=1,-2,0)))</f>
        <v>0</v>
      </c>
      <c r="V4" s="15">
        <f>IF(I4="","",IF(T4=Data!S$3,2,0))</f>
        <v>0</v>
      </c>
      <c r="W4" s="15">
        <f t="shared" si="11"/>
        <v>1</v>
      </c>
      <c r="X4" s="15">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34</v>
      </c>
      <c r="Y4">
        <f t="shared" si="4"/>
        <v>49</v>
      </c>
      <c r="Z4">
        <f t="shared" si="12"/>
        <v>1539</v>
      </c>
      <c r="AA4" s="161">
        <f t="shared" si="13"/>
        <v>49.015390067999995</v>
      </c>
      <c r="AB4">
        <f>IF(Q4="No Tips","",SUM(T4:V4))</f>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34</v>
      </c>
      <c r="AD4" s="4" t="s">
        <v>15</v>
      </c>
      <c r="AF4">
        <f>IF(I4="","",IF(Q4="",0,IF(AND(Q4&gt;0,COUNTIF('Stats Calculator'!$T$24:$AA$24,Q4)=1),HLOOKUP(Q4,'Stats Calculator'!$T$24:$AA$27,4,FALSE),IF(AND(Q4&gt;0,COUNTIF('Stats Calculator'!$T$25:$AA$25,Q4)=1),HLOOKUP(Q4,'Stats Calculator'!$T$25:$AA$27,3,FALSE)))))</f>
        <v>4</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2</v>
      </c>
      <c r="AL4">
        <f t="shared" si="14"/>
        <v>12</v>
      </c>
    </row>
    <row r="5" spans="1:38" x14ac:dyDescent="0.3">
      <c r="A5">
        <v>4</v>
      </c>
      <c r="B5">
        <f t="shared" si="0"/>
        <v>29</v>
      </c>
      <c r="C5" s="161">
        <f t="shared" si="8"/>
        <v>49.014620090999998</v>
      </c>
      <c r="D5">
        <f t="shared" si="1"/>
        <v>29</v>
      </c>
      <c r="E5" s="4" t="str">
        <f t="shared" si="9"/>
        <v>u</v>
      </c>
      <c r="F5" t="str">
        <f t="shared" si="10"/>
        <v/>
      </c>
      <c r="G5">
        <v>91</v>
      </c>
      <c r="H5" t="str">
        <f>Data!A5</f>
        <v>AaronC</v>
      </c>
      <c r="I5" s="2" t="str">
        <f>Data!C5</f>
        <v>Rabbitohs</v>
      </c>
      <c r="J5" s="2" t="str">
        <f>Data!D5</f>
        <v>Storm</v>
      </c>
      <c r="K5" s="2" t="str">
        <f>Data!E5</f>
        <v>Titans</v>
      </c>
      <c r="L5" s="2" t="str">
        <f>IF(Data!$S$3&lt;Engine!L$1,0,Data!F5)</f>
        <v>Panthers</v>
      </c>
      <c r="M5" s="2" t="str">
        <f>IF(Data!$S$3&lt;Engine!M$1,0,Data!G5)</f>
        <v>Eels</v>
      </c>
      <c r="N5" s="2" t="str">
        <f>IF(Data!$S$3&lt;Engine!N$1,0,Data!H5)</f>
        <v>Roosters</v>
      </c>
      <c r="O5" s="2" t="str">
        <f>IF(Data!$S$3&lt;Engine!O$1,0,Data!I5)</f>
        <v>Warriors</v>
      </c>
      <c r="P5" s="2" t="str">
        <f>IF(Data!$S$3&lt;Engine!P$1,0,Data!J5)</f>
        <v>Dragons</v>
      </c>
      <c r="Q5" s="17" t="str">
        <f>IF(Data!B5=1,Data!K5,"No Tips")</f>
        <v>Eels</v>
      </c>
      <c r="R5" s="2">
        <f>Data!L5</f>
        <v>49</v>
      </c>
      <c r="S5" s="2">
        <f>Data!M5</f>
        <v>1462</v>
      </c>
      <c r="T5" s="15">
        <f>IF(I5="","",COUNTIF('Live Ladder'!P:P,I5)+COUNTIF('Live Ladder'!P:P,J5)+COUNTIF('Live Ladder'!P:P,K5)+COUNTIF('Live Ladder'!P:P,L5)+COUNTIF('Live Ladder'!P:P,M5)+COUNTIF('Live Ladder'!P:P,N5)+COUNTIF('Live Ladder'!P:P,O5)+COUNTIF('Live Ladder'!P:P,P5))</f>
        <v>1</v>
      </c>
      <c r="U5" s="15">
        <f>IF(I5="","",IF(COUNTIF('Live Ladder'!P:P,Engine!Q5)=1,2,IF(COUNTIF('Live Ladder'!Q:Q,Engine!Q5)=1,-2,0)))</f>
        <v>0</v>
      </c>
      <c r="V5" s="15">
        <f>IF(I5="","",IF(T5=Data!S$3,2,0))</f>
        <v>0</v>
      </c>
      <c r="W5" s="15">
        <f t="shared" si="11"/>
        <v>1</v>
      </c>
      <c r="X5" s="15">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34</v>
      </c>
      <c r="Y5">
        <f t="shared" si="4"/>
        <v>50</v>
      </c>
      <c r="Z5">
        <f t="shared" si="12"/>
        <v>1496</v>
      </c>
      <c r="AA5" s="161">
        <f t="shared" si="13"/>
        <v>50.014960090999999</v>
      </c>
      <c r="AB5">
        <f t="shared" ref="AB5:AB6" si="15">SUM(T5:V5)</f>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34</v>
      </c>
      <c r="AD5" s="4" t="s">
        <v>16</v>
      </c>
      <c r="AF5">
        <f>IF(I5="","",IF(Q5="",0,IF(AND(Q5&gt;0,COUNTIF('Stats Calculator'!$T$24:$AA$24,Q5)=1),HLOOKUP(Q5,'Stats Calculator'!$T$24:$AA$27,4,FALSE),IF(AND(Q5&gt;0,COUNTIF('Stats Calculator'!$T$25:$AA$25,Q5)=1),HLOOKUP(Q5,'Stats Calculator'!$T$25:$AA$27,3,FALSE)))))</f>
        <v>5</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2</v>
      </c>
      <c r="AL5">
        <f t="shared" si="14"/>
        <v>12</v>
      </c>
    </row>
    <row r="6" spans="1:38" x14ac:dyDescent="0.3">
      <c r="A6">
        <v>5</v>
      </c>
      <c r="B6">
        <f t="shared" si="0"/>
        <v>59</v>
      </c>
      <c r="C6" s="161">
        <f t="shared" si="8"/>
        <v>43.013680090000001</v>
      </c>
      <c r="D6">
        <f t="shared" si="1"/>
        <v>58</v>
      </c>
      <c r="E6" s="4" t="str">
        <f t="shared" si="9"/>
        <v>p</v>
      </c>
      <c r="F6">
        <f t="shared" si="10"/>
        <v>1</v>
      </c>
      <c r="G6">
        <v>90</v>
      </c>
      <c r="H6" t="str">
        <f>Data!A6</f>
        <v>Adel Messih</v>
      </c>
      <c r="I6" s="2" t="str">
        <f>Data!C6</f>
        <v>Rabbitohs</v>
      </c>
      <c r="J6" s="2" t="str">
        <f>Data!D6</f>
        <v>Storm</v>
      </c>
      <c r="K6" s="2" t="str">
        <f>Data!E6</f>
        <v>Titans</v>
      </c>
      <c r="L6" s="2" t="str">
        <f>IF(Data!$S$3&lt;Engine!L$1,0,Data!F6)</f>
        <v>Sea Eagles</v>
      </c>
      <c r="M6" s="2" t="str">
        <f>IF(Data!$S$3&lt;Engine!M$1,0,Data!G6)</f>
        <v>Eels</v>
      </c>
      <c r="N6" s="2" t="str">
        <f>IF(Data!$S$3&lt;Engine!N$1,0,Data!H6)</f>
        <v>Roosters</v>
      </c>
      <c r="O6" s="2" t="str">
        <f>IF(Data!$S$3&lt;Engine!O$1,0,Data!I6)</f>
        <v>Cowboys</v>
      </c>
      <c r="P6" s="2" t="str">
        <f>IF(Data!$S$3&lt;Engine!P$1,0,Data!J6)</f>
        <v>Dragons</v>
      </c>
      <c r="Q6" s="17" t="str">
        <f>IF(Data!B6=1,Data!K6,"No Tips")</f>
        <v>Storm</v>
      </c>
      <c r="R6" s="2">
        <f>Data!L6</f>
        <v>43</v>
      </c>
      <c r="S6" s="2">
        <f>Data!M6</f>
        <v>1368</v>
      </c>
      <c r="T6" s="15">
        <f>IF(I6="","",COUNTIF('Live Ladder'!P:P,I6)+COUNTIF('Live Ladder'!P:P,J6)+COUNTIF('Live Ladder'!P:P,K6)+COUNTIF('Live Ladder'!P:P,L6)+COUNTIF('Live Ladder'!P:P,M6)+COUNTIF('Live Ladder'!P:P,N6)+COUNTIF('Live Ladder'!P:P,O6)+COUNTIF('Live Ladder'!P:P,P6))</f>
        <v>1</v>
      </c>
      <c r="U6" s="15">
        <f>IF(I6="","",IF(COUNTIF('Live Ladder'!P:P,Engine!Q6)=1,2,IF(COUNTIF('Live Ladder'!Q:Q,Engine!Q6)=1,-2,0)))</f>
        <v>0</v>
      </c>
      <c r="V6" s="15">
        <f>IF(I6="","",IF(T6=Data!S$3,2,0))</f>
        <v>0</v>
      </c>
      <c r="W6" s="15">
        <f t="shared" si="11"/>
        <v>1</v>
      </c>
      <c r="X6" s="15">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34</v>
      </c>
      <c r="Y6">
        <f t="shared" si="4"/>
        <v>44</v>
      </c>
      <c r="Z6">
        <f t="shared" si="12"/>
        <v>1402</v>
      </c>
      <c r="AA6" s="161">
        <f t="shared" si="13"/>
        <v>44.014020090000002</v>
      </c>
      <c r="AB6">
        <f t="shared" si="15"/>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34</v>
      </c>
      <c r="AF6">
        <f>IF(I6="","",IF(Q6="",0,IF(AND(Q6&gt;0,COUNTIF('Stats Calculator'!$T$24:$AA$24,Q6)=1),HLOOKUP(Q6,'Stats Calculator'!$T$24:$AA$27,4,FALSE),IF(AND(Q6&gt;0,COUNTIF('Stats Calculator'!$T$25:$AA$25,Q6)=1),HLOOKUP(Q6,'Stats Calculator'!$T$25:$AA$27,3,FALSE)))))</f>
        <v>2</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2</v>
      </c>
      <c r="AL6">
        <f t="shared" si="14"/>
        <v>12</v>
      </c>
    </row>
    <row r="7" spans="1:38" x14ac:dyDescent="0.3">
      <c r="A7">
        <v>6</v>
      </c>
      <c r="B7">
        <f t="shared" si="0"/>
        <v>11</v>
      </c>
      <c r="C7" s="161">
        <f t="shared" si="8"/>
        <v>52.015540088999998</v>
      </c>
      <c r="D7">
        <f t="shared" si="1"/>
        <v>11</v>
      </c>
      <c r="E7" s="4" t="str">
        <f t="shared" si="9"/>
        <v>u</v>
      </c>
      <c r="F7" t="str">
        <f t="shared" si="10"/>
        <v/>
      </c>
      <c r="G7">
        <v>89</v>
      </c>
      <c r="H7" t="str">
        <f>Data!A7</f>
        <v>Admireel</v>
      </c>
      <c r="I7" s="2" t="str">
        <f>Data!C7</f>
        <v>Rabbitohs</v>
      </c>
      <c r="J7" s="2" t="str">
        <f>Data!D7</f>
        <v>Storm</v>
      </c>
      <c r="K7" s="2" t="str">
        <f>Data!E7</f>
        <v>Titans</v>
      </c>
      <c r="L7" s="2" t="str">
        <f>IF(Data!$S$3&lt;Engine!L$1,0,Data!F7)</f>
        <v>Panthers</v>
      </c>
      <c r="M7" s="2" t="str">
        <f>IF(Data!$S$3&lt;Engine!M$1,0,Data!G7)</f>
        <v>Eels</v>
      </c>
      <c r="N7" s="2" t="str">
        <f>IF(Data!$S$3&lt;Engine!N$1,0,Data!H7)</f>
        <v>Roosters</v>
      </c>
      <c r="O7" s="2" t="str">
        <f>IF(Data!$S$3&lt;Engine!O$1,0,Data!I7)</f>
        <v>Warriors</v>
      </c>
      <c r="P7" s="2" t="str">
        <f>IF(Data!$S$3&lt;Engine!P$1,0,Data!J7)</f>
        <v>Dragons</v>
      </c>
      <c r="Q7" s="17" t="str">
        <f>IF(Data!B7=1,Data!K7,"No Tips")</f>
        <v>Storm</v>
      </c>
      <c r="R7" s="2">
        <f>Data!L7</f>
        <v>52</v>
      </c>
      <c r="S7" s="2">
        <f>Data!M7</f>
        <v>1554</v>
      </c>
      <c r="T7" s="15">
        <f>IF(I7="","",COUNTIF('Live Ladder'!P:P,I7)+COUNTIF('Live Ladder'!P:P,J7)+COUNTIF('Live Ladder'!P:P,K7)+COUNTIF('Live Ladder'!P:P,L7)+COUNTIF('Live Ladder'!P:P,M7)+COUNTIF('Live Ladder'!P:P,N7)+COUNTIF('Live Ladder'!P:P,O7)+COUNTIF('Live Ladder'!P:P,P7))</f>
        <v>1</v>
      </c>
      <c r="U7" s="15">
        <f>IF(I7="","",IF(COUNTIF('Live Ladder'!P:P,Engine!Q7)=1,2,IF(COUNTIF('Live Ladder'!Q:Q,Engine!Q7)=1,-2,0)))</f>
        <v>0</v>
      </c>
      <c r="V7" s="15">
        <f>IF(I7="","",IF(T7=Data!S$3,2,0))</f>
        <v>0</v>
      </c>
      <c r="W7" s="15">
        <f t="shared" si="11"/>
        <v>1</v>
      </c>
      <c r="X7" s="15">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34</v>
      </c>
      <c r="Y7">
        <f t="shared" si="4"/>
        <v>53</v>
      </c>
      <c r="Z7">
        <f t="shared" si="12"/>
        <v>1588</v>
      </c>
      <c r="AA7" s="161">
        <f t="shared" si="13"/>
        <v>53.015880088999999</v>
      </c>
      <c r="AB7">
        <f t="shared" ref="AB7:AB66" si="16">SUM(T7:V7)</f>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34</v>
      </c>
      <c r="AF7">
        <f>IF(I7="","",IF(Q7="",0,IF(AND(Q7&gt;0,COUNTIF('Stats Calculator'!$T$24:$AA$24,Q7)=1),HLOOKUP(Q7,'Stats Calculator'!$T$24:$AA$27,4,FALSE),IF(AND(Q7&gt;0,COUNTIF('Stats Calculator'!$T$25:$AA$25,Q7)=1),HLOOKUP(Q7,'Stats Calculator'!$T$25:$AA$27,3,FALSE)))))</f>
        <v>2</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58" customFormat="1" x14ac:dyDescent="0.3">
      <c r="A8" s="158">
        <v>7</v>
      </c>
      <c r="B8" s="158">
        <f t="shared" si="0"/>
        <v>66</v>
      </c>
      <c r="C8" s="161">
        <f t="shared" si="8"/>
        <v>39.013290087999998</v>
      </c>
      <c r="D8" s="158">
        <f t="shared" si="1"/>
        <v>66</v>
      </c>
      <c r="E8" s="159" t="str">
        <f t="shared" si="9"/>
        <v>u</v>
      </c>
      <c r="F8" s="158" t="str">
        <f t="shared" si="10"/>
        <v/>
      </c>
      <c r="G8">
        <v>88</v>
      </c>
      <c r="H8" t="str">
        <f>Data!A8</f>
        <v>Bart Simpson</v>
      </c>
      <c r="I8" s="2" t="str">
        <f>Data!C8</f>
        <v>Rabbitohs</v>
      </c>
      <c r="J8" s="2" t="str">
        <f>Data!D8</f>
        <v>Storm</v>
      </c>
      <c r="K8" s="2" t="str">
        <f>Data!E8</f>
        <v>Titans</v>
      </c>
      <c r="L8" s="2" t="str">
        <f>IF(Data!$S$3&lt;Engine!L$1,0,Data!F8)</f>
        <v>Sea Eagles</v>
      </c>
      <c r="M8" s="2" t="str">
        <f>IF(Data!$S$3&lt;Engine!M$1,0,Data!G8)</f>
        <v>Eels</v>
      </c>
      <c r="N8" s="2" t="str">
        <f>IF(Data!$S$3&lt;Engine!N$1,0,Data!H8)</f>
        <v>Roosters</v>
      </c>
      <c r="O8" s="2" t="str">
        <f>IF(Data!$S$3&lt;Engine!O$1,0,Data!I8)</f>
        <v>Warriors</v>
      </c>
      <c r="P8" s="2" t="str">
        <f>IF(Data!$S$3&lt;Engine!P$1,0,Data!J8)</f>
        <v>Dragons</v>
      </c>
      <c r="Q8" s="17" t="str">
        <f>IF(Data!B8=1,Data!K8,"No Tips")</f>
        <v>Eels</v>
      </c>
      <c r="R8" s="2">
        <f>Data!L8</f>
        <v>39</v>
      </c>
      <c r="S8" s="2">
        <f>Data!M8</f>
        <v>1329</v>
      </c>
      <c r="T8" s="160">
        <f>IF(I8="","",COUNTIF('Live Ladder'!P:P,I8)+COUNTIF('Live Ladder'!P:P,J8)+COUNTIF('Live Ladder'!P:P,K8)+COUNTIF('Live Ladder'!P:P,L8)+COUNTIF('Live Ladder'!P:P,M8)+COUNTIF('Live Ladder'!P:P,N8)+COUNTIF('Live Ladder'!P:P,O8)+COUNTIF('Live Ladder'!P:P,P8))</f>
        <v>1</v>
      </c>
      <c r="U8" s="160">
        <f>IF(I8="","",IF(COUNTIF('Live Ladder'!P:P,Engine!Q8)=1,2,IF(COUNTIF('Live Ladder'!Q:Q,Engine!Q8)=1,-2,0)))</f>
        <v>0</v>
      </c>
      <c r="V8" s="160">
        <f>IF(I8="","",IF(T8=Data!S$3,2,0))</f>
        <v>0</v>
      </c>
      <c r="W8" s="160">
        <f t="shared" si="11"/>
        <v>1</v>
      </c>
      <c r="X8" s="16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34</v>
      </c>
      <c r="Y8" s="158">
        <f t="shared" si="4"/>
        <v>40</v>
      </c>
      <c r="Z8" s="158">
        <f t="shared" si="12"/>
        <v>1363</v>
      </c>
      <c r="AA8" s="161">
        <f t="shared" si="13"/>
        <v>40.013630087999999</v>
      </c>
      <c r="AB8" s="158">
        <f t="shared" si="16"/>
        <v>1</v>
      </c>
      <c r="AC8" s="15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34</v>
      </c>
      <c r="AF8" s="158">
        <f>IF(I8="","",IF(Q8="",0,IF(AND(Q8&gt;0,COUNTIF('Stats Calculator'!$T$24:$AA$24,Q8)=1),HLOOKUP(Q8,'Stats Calculator'!$T$24:$AA$27,4,FALSE),IF(AND(Q8&gt;0,COUNTIF('Stats Calculator'!$T$25:$AA$25,Q8)=1),HLOOKUP(Q8,'Stats Calculator'!$T$25:$AA$27,3,FALSE)))))</f>
        <v>5</v>
      </c>
      <c r="AG8" s="158">
        <f>IF(I8="","",COUNTIF(I8,'Stats Calculator'!E$31)+COUNTIF(J8,'Stats Calculator'!E$32)+COUNTIF(K8,'Stats Calculator'!E$33)+COUNTIF(L8,'Stats Calculator'!E$34)+COUNTIF(M8,'Stats Calculator'!E$35)+COUNTIF(N8,'Stats Calculator'!E$36)+COUNTIF(O8,'Stats Calculator'!E$37)+COUNTIF(P8,'Stats Calculator'!E$38)-8+Data!S$3)</f>
        <v>1</v>
      </c>
      <c r="AH8" s="158">
        <f>IF(I8="","",IF(Q8="",0,IF(Q8=0,0,IF(VLOOKUP(Engine!AF8,'Stats Calculator'!B$31:E$38,4,FALSE)="",0,IF(VLOOKUP(Engine!AF8,'Stats Calculator'!B$31:E$38,4,FALSE)=Q8,2,-2)))))</f>
        <v>0</v>
      </c>
      <c r="AI8" s="158">
        <f>IF(I8="","",Data!S$3-COUNTA('Stats Calculator'!E$31:E$38))</f>
        <v>7</v>
      </c>
      <c r="AJ8" s="158">
        <f>IF(I8="","",IF(AF8=0,0,IF(VLOOKUP(AF8,'Stats Calculator'!B$31:E$38,4,FALSE)&gt;0,0,2)))</f>
        <v>2</v>
      </c>
      <c r="AK8" s="158">
        <f>IF(I8="","",IF(Data!S$3-Engine!AI8=AG8,2,0))</f>
        <v>2</v>
      </c>
      <c r="AL8" s="158">
        <f t="shared" si="14"/>
        <v>12</v>
      </c>
    </row>
    <row r="9" spans="1:38" x14ac:dyDescent="0.3">
      <c r="A9">
        <v>8</v>
      </c>
      <c r="B9">
        <f t="shared" si="0"/>
        <v>19</v>
      </c>
      <c r="C9" s="161">
        <f t="shared" si="8"/>
        <v>50.015360086999998</v>
      </c>
      <c r="D9">
        <f t="shared" si="1"/>
        <v>16</v>
      </c>
      <c r="E9" s="4" t="str">
        <f t="shared" si="9"/>
        <v>p</v>
      </c>
      <c r="F9">
        <f t="shared" si="10"/>
        <v>3</v>
      </c>
      <c r="G9">
        <v>87</v>
      </c>
      <c r="H9" t="str">
        <f>Data!A9</f>
        <v>Big Baba</v>
      </c>
      <c r="I9" s="2" t="str">
        <f>Data!C9</f>
        <v>Rabbitohs</v>
      </c>
      <c r="J9" s="2" t="str">
        <f>Data!D9</f>
        <v>Storm</v>
      </c>
      <c r="K9" s="2" t="str">
        <f>Data!E9</f>
        <v>Titans</v>
      </c>
      <c r="L9" s="2" t="str">
        <f>IF(Data!$S$3&lt;Engine!L$1,0,Data!F9)</f>
        <v>Panthers</v>
      </c>
      <c r="M9" s="2" t="str">
        <f>IF(Data!$S$3&lt;Engine!M$1,0,Data!G9)</f>
        <v>Eels</v>
      </c>
      <c r="N9" s="2" t="str">
        <f>IF(Data!$S$3&lt;Engine!N$1,0,Data!H9)</f>
        <v>Roosters</v>
      </c>
      <c r="O9" s="2" t="str">
        <f>IF(Data!$S$3&lt;Engine!O$1,0,Data!I9)</f>
        <v>Warriors</v>
      </c>
      <c r="P9" s="2" t="str">
        <f>IF(Data!$S$3&lt;Engine!P$1,0,Data!J9)</f>
        <v>Dragons</v>
      </c>
      <c r="Q9" s="17" t="str">
        <f>IF(Data!B9=1,Data!K9,"No Tips")</f>
        <v>Storm</v>
      </c>
      <c r="R9" s="2">
        <f>Data!L9</f>
        <v>50</v>
      </c>
      <c r="S9" s="2">
        <f>Data!M9</f>
        <v>1536</v>
      </c>
      <c r="T9" s="15">
        <f>IF(I9="","",COUNTIF('Live Ladder'!P:P,I9)+COUNTIF('Live Ladder'!P:P,J9)+COUNTIF('Live Ladder'!P:P,K9)+COUNTIF('Live Ladder'!P:P,L9)+COUNTIF('Live Ladder'!P:P,M9)+COUNTIF('Live Ladder'!P:P,N9)+COUNTIF('Live Ladder'!P:P,O9)+COUNTIF('Live Ladder'!P:P,P9))</f>
        <v>1</v>
      </c>
      <c r="U9" s="15">
        <f>IF(I9="","",IF(COUNTIF('Live Ladder'!P:P,Engine!Q9)=1,2,IF(COUNTIF('Live Ladder'!Q:Q,Engine!Q9)=1,-2,0)))</f>
        <v>0</v>
      </c>
      <c r="V9" s="15">
        <f>IF(I9="","",IF(T9=Data!S$3,2,0))</f>
        <v>0</v>
      </c>
      <c r="W9" s="15">
        <f t="shared" si="11"/>
        <v>1</v>
      </c>
      <c r="X9" s="15">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34</v>
      </c>
      <c r="Y9">
        <f t="shared" si="4"/>
        <v>51</v>
      </c>
      <c r="Z9">
        <f t="shared" si="12"/>
        <v>1570</v>
      </c>
      <c r="AA9" s="161">
        <f t="shared" si="13"/>
        <v>51.015700086999999</v>
      </c>
      <c r="AB9">
        <f t="shared" si="16"/>
        <v>1</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34</v>
      </c>
      <c r="AF9">
        <f>IF(I9="","",IF(Q9="",0,IF(AND(Q9&gt;0,COUNTIF('Stats Calculator'!$T$24:$AA$24,Q9)=1),HLOOKUP(Q9,'Stats Calculator'!$T$24:$AA$27,4,FALSE),IF(AND(Q9&gt;0,COUNTIF('Stats Calculator'!$T$25:$AA$25,Q9)=1),HLOOKUP(Q9,'Stats Calculator'!$T$25:$AA$27,3,FALSE)))))</f>
        <v>2</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2</v>
      </c>
      <c r="AL9">
        <f t="shared" si="14"/>
        <v>12</v>
      </c>
    </row>
    <row r="10" spans="1:38" x14ac:dyDescent="0.3">
      <c r="A10">
        <v>9</v>
      </c>
      <c r="B10">
        <f t="shared" si="0"/>
        <v>51</v>
      </c>
      <c r="C10" s="161">
        <f t="shared" si="8"/>
        <v>46.014690086000002</v>
      </c>
      <c r="D10">
        <f t="shared" si="1"/>
        <v>51</v>
      </c>
      <c r="E10" s="4" t="str">
        <f t="shared" si="9"/>
        <v>u</v>
      </c>
      <c r="F10" t="str">
        <f t="shared" si="10"/>
        <v/>
      </c>
      <c r="G10">
        <v>86</v>
      </c>
      <c r="H10" t="str">
        <f>Data!A10</f>
        <v>Big Moose</v>
      </c>
      <c r="I10" s="2" t="str">
        <f>Data!C10</f>
        <v>Rabbitohs</v>
      </c>
      <c r="J10" s="2" t="str">
        <f>Data!D10</f>
        <v>Storm</v>
      </c>
      <c r="K10" s="2" t="str">
        <f>Data!E10</f>
        <v>Titans</v>
      </c>
      <c r="L10" s="2" t="str">
        <f>IF(Data!$S$3&lt;Engine!L$1,0,Data!F10)</f>
        <v>Panthers</v>
      </c>
      <c r="M10" s="2" t="str">
        <f>IF(Data!$S$3&lt;Engine!M$1,0,Data!G10)</f>
        <v>Eels</v>
      </c>
      <c r="N10" s="2" t="str">
        <f>IF(Data!$S$3&lt;Engine!N$1,0,Data!H10)</f>
        <v>Roosters</v>
      </c>
      <c r="O10" s="2" t="str">
        <f>IF(Data!$S$3&lt;Engine!O$1,0,Data!I10)</f>
        <v>Warriors</v>
      </c>
      <c r="P10" s="2" t="str">
        <f>IF(Data!$S$3&lt;Engine!P$1,0,Data!J10)</f>
        <v>Dragons</v>
      </c>
      <c r="Q10" s="17" t="str">
        <f>IF(Data!B10=1,Data!K10,"No Tips")</f>
        <v>Storm</v>
      </c>
      <c r="R10" s="2">
        <f>Data!L10</f>
        <v>46</v>
      </c>
      <c r="S10" s="2">
        <f>Data!M10</f>
        <v>1469</v>
      </c>
      <c r="T10" s="15">
        <f>IF(I10="","",COUNTIF('Live Ladder'!P:P,I10)+COUNTIF('Live Ladder'!P:P,J10)+COUNTIF('Live Ladder'!P:P,K10)+COUNTIF('Live Ladder'!P:P,L10)+COUNTIF('Live Ladder'!P:P,M10)+COUNTIF('Live Ladder'!P:P,N10)+COUNTIF('Live Ladder'!P:P,O10)+COUNTIF('Live Ladder'!P:P,P10))</f>
        <v>1</v>
      </c>
      <c r="U10" s="15">
        <f>IF(I10="","",IF(COUNTIF('Live Ladder'!P:P,Engine!Q10)=1,2,IF(COUNTIF('Live Ladder'!Q:Q,Engine!Q10)=1,-2,0)))</f>
        <v>0</v>
      </c>
      <c r="V10" s="15">
        <f>IF(I10="","",IF(T10=Data!S$3,2,0))</f>
        <v>0</v>
      </c>
      <c r="W10" s="15">
        <f t="shared" si="11"/>
        <v>1</v>
      </c>
      <c r="X10" s="15">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34</v>
      </c>
      <c r="Y10">
        <f t="shared" si="4"/>
        <v>47</v>
      </c>
      <c r="Z10">
        <f t="shared" si="12"/>
        <v>1503</v>
      </c>
      <c r="AA10" s="161">
        <f t="shared" si="13"/>
        <v>47.015030086000003</v>
      </c>
      <c r="AB10">
        <f t="shared" si="1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34</v>
      </c>
      <c r="AF10">
        <f>IF(I10="","",IF(Q10="",0,IF(AND(Q10&gt;0,COUNTIF('Stats Calculator'!$T$24:$AA$24,Q10)=1),HLOOKUP(Q10,'Stats Calculator'!$T$24:$AA$27,4,FALSE),IF(AND(Q10&gt;0,COUNTIF('Stats Calculator'!$T$25:$AA$25,Q10)=1),HLOOKUP(Q10,'Stats Calculator'!$T$25:$AA$27,3,FALSE)))))</f>
        <v>2</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2</v>
      </c>
      <c r="AL10">
        <f t="shared" si="14"/>
        <v>12</v>
      </c>
    </row>
    <row r="11" spans="1:38" x14ac:dyDescent="0.3">
      <c r="A11">
        <v>10</v>
      </c>
      <c r="B11">
        <f t="shared" si="0"/>
        <v>69</v>
      </c>
      <c r="C11" s="161">
        <f t="shared" si="8"/>
        <v>34.012870085000003</v>
      </c>
      <c r="D11">
        <f t="shared" si="1"/>
        <v>70</v>
      </c>
      <c r="E11" s="4" t="str">
        <f t="shared" si="9"/>
        <v>q</v>
      </c>
      <c r="F11">
        <f t="shared" si="10"/>
        <v>1</v>
      </c>
      <c r="G11">
        <v>85</v>
      </c>
      <c r="H11" t="str">
        <f>Data!A11</f>
        <v>BigBadBenji</v>
      </c>
      <c r="I11" s="2" t="str">
        <f>Data!C11</f>
        <v>Raiders</v>
      </c>
      <c r="J11" s="2" t="str">
        <f>Data!D11</f>
        <v>Storm</v>
      </c>
      <c r="K11" s="2" t="str">
        <f>Data!E11</f>
        <v>Titans</v>
      </c>
      <c r="L11" s="2" t="str">
        <f>IF(Data!$S$3&lt;Engine!L$1,0,Data!F11)</f>
        <v>Panthers</v>
      </c>
      <c r="M11" s="2" t="str">
        <f>IF(Data!$S$3&lt;Engine!M$1,0,Data!G11)</f>
        <v>Eels</v>
      </c>
      <c r="N11" s="2" t="str">
        <f>IF(Data!$S$3&lt;Engine!N$1,0,Data!H11)</f>
        <v>Roosters</v>
      </c>
      <c r="O11" s="2" t="str">
        <f>IF(Data!$S$3&lt;Engine!O$1,0,Data!I11)</f>
        <v>Warriors</v>
      </c>
      <c r="P11" s="2" t="str">
        <f>IF(Data!$S$3&lt;Engine!P$1,0,Data!J11)</f>
        <v>Dragons</v>
      </c>
      <c r="Q11" s="17" t="str">
        <f>IF(Data!B11=1,Data!K11,"No Tips")</f>
        <v>Panthers</v>
      </c>
      <c r="R11" s="2">
        <f>Data!L11</f>
        <v>34</v>
      </c>
      <c r="S11" s="2">
        <f>Data!M11</f>
        <v>1287</v>
      </c>
      <c r="T11" s="15">
        <f>IF(I11="","",COUNTIF('Live Ladder'!P:P,I11)+COUNTIF('Live Ladder'!P:P,J11)+COUNTIF('Live Ladder'!P:P,K11)+COUNTIF('Live Ladder'!P:P,L11)+COUNTIF('Live Ladder'!P:P,M11)+COUNTIF('Live Ladder'!P:P,N11)+COUNTIF('Live Ladder'!P:P,O11)+COUNTIF('Live Ladder'!P:P,P11))</f>
        <v>0</v>
      </c>
      <c r="U11" s="15">
        <f>IF(I11="","",IF(COUNTIF('Live Ladder'!P:P,Engine!Q11)=1,2,IF(COUNTIF('Live Ladder'!Q:Q,Engine!Q11)=1,-2,0)))</f>
        <v>0</v>
      </c>
      <c r="V11" s="15">
        <f>IF(I11="","",IF(T11=Data!S$3,2,0))</f>
        <v>0</v>
      </c>
      <c r="W11" s="15">
        <f t="shared" si="11"/>
        <v>0</v>
      </c>
      <c r="X11" s="15">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20</v>
      </c>
      <c r="Y11">
        <f t="shared" si="4"/>
        <v>34</v>
      </c>
      <c r="Z11">
        <f t="shared" si="12"/>
        <v>1307</v>
      </c>
      <c r="AA11" s="161">
        <f t="shared" si="13"/>
        <v>34.013070085000003</v>
      </c>
      <c r="AB11">
        <f t="shared" si="16"/>
        <v>0</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20</v>
      </c>
      <c r="AF11">
        <f>IF(I11="","",IF(Q11="",0,IF(AND(Q11&gt;0,COUNTIF('Stats Calculator'!$T$24:$AA$24,Q11)=1),HLOOKUP(Q11,'Stats Calculator'!$T$24:$AA$27,4,FALSE),IF(AND(Q11&gt;0,COUNTIF('Stats Calculator'!$T$25:$AA$25,Q11)=1),HLOOKUP(Q11,'Stats Calculator'!$T$25:$AA$27,3,FALSE)))))</f>
        <v>4</v>
      </c>
      <c r="AG11">
        <f>IF(I11="","",COUNTIF(I11,'Stats Calculator'!E$31)+COUNTIF(J11,'Stats Calculator'!E$32)+COUNTIF(K11,'Stats Calculator'!E$33)+COUNTIF(L11,'Stats Calculator'!E$34)+COUNTIF(M11,'Stats Calculator'!E$35)+COUNTIF(N11,'Stats Calculator'!E$36)+COUNTIF(O11,'Stats Calculator'!E$37)+COUNTIF(P11,'Stats Calculator'!E$38)-8+Data!S$3)</f>
        <v>0</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0</v>
      </c>
      <c r="AL11">
        <f t="shared" si="14"/>
        <v>9</v>
      </c>
    </row>
    <row r="12" spans="1:38" x14ac:dyDescent="0.3">
      <c r="A12">
        <v>11</v>
      </c>
      <c r="B12">
        <f t="shared" si="0"/>
        <v>68</v>
      </c>
      <c r="C12" s="161">
        <f>IF(H12="ZZZZZZ Suspend","",R12+(S12/100000)+(G12/1000000000))</f>
        <v>38.014190083999999</v>
      </c>
      <c r="D12">
        <f t="shared" si="1"/>
        <v>68</v>
      </c>
      <c r="E12" s="4" t="str">
        <f t="shared" si="9"/>
        <v>u</v>
      </c>
      <c r="F12" t="str">
        <f t="shared" si="10"/>
        <v/>
      </c>
      <c r="G12">
        <v>84</v>
      </c>
      <c r="H12" t="str">
        <f>Data!A12</f>
        <v>BillyB</v>
      </c>
      <c r="I12" s="2" t="str">
        <f>Data!C12</f>
        <v>Rabbitohs</v>
      </c>
      <c r="J12" s="2" t="str">
        <f>Data!D12</f>
        <v>Storm</v>
      </c>
      <c r="K12" s="2" t="str">
        <f>Data!E12</f>
        <v>Titans</v>
      </c>
      <c r="L12" s="2" t="str">
        <f>IF(Data!$S$3&lt;Engine!L$1,0,Data!F12)</f>
        <v>Panthers</v>
      </c>
      <c r="M12" s="2" t="str">
        <f>IF(Data!$S$3&lt;Engine!M$1,0,Data!G12)</f>
        <v>Eels</v>
      </c>
      <c r="N12" s="2" t="str">
        <f>IF(Data!$S$3&lt;Engine!N$1,0,Data!H12)</f>
        <v>Roosters</v>
      </c>
      <c r="O12" s="2" t="str">
        <f>IF(Data!$S$3&lt;Engine!O$1,0,Data!I12)</f>
        <v>Warriors</v>
      </c>
      <c r="P12" s="2" t="str">
        <f>IF(Data!$S$3&lt;Engine!P$1,0,Data!J12)</f>
        <v>Dragons</v>
      </c>
      <c r="Q12" s="17" t="str">
        <f>IF(Data!B12=1,Data!K12,"No Tips")</f>
        <v>Storm</v>
      </c>
      <c r="R12" s="2">
        <f>Data!L12</f>
        <v>38</v>
      </c>
      <c r="S12" s="2">
        <f>Data!M12</f>
        <v>1419</v>
      </c>
      <c r="T12" s="15">
        <f>IF(I12="","",COUNTIF('Live Ladder'!P:P,I12)+COUNTIF('Live Ladder'!P:P,J12)+COUNTIF('Live Ladder'!P:P,K12)+COUNTIF('Live Ladder'!P:P,L12)+COUNTIF('Live Ladder'!P:P,M12)+COUNTIF('Live Ladder'!P:P,N12)+COUNTIF('Live Ladder'!P:P,O12)+COUNTIF('Live Ladder'!P:P,P12))</f>
        <v>1</v>
      </c>
      <c r="U12" s="15">
        <f>IF(I12="","",IF(COUNTIF('Live Ladder'!P:P,Engine!Q12)=1,2,IF(COUNTIF('Live Ladder'!Q:Q,Engine!Q12)=1,-2,0)))</f>
        <v>0</v>
      </c>
      <c r="V12" s="15">
        <f>IF(I12="","",IF(T12=Data!S$3,2,0))</f>
        <v>0</v>
      </c>
      <c r="W12" s="15">
        <f t="shared" si="11"/>
        <v>1</v>
      </c>
      <c r="X12" s="15">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34</v>
      </c>
      <c r="Y12">
        <f t="shared" si="4"/>
        <v>39</v>
      </c>
      <c r="Z12">
        <f t="shared" si="12"/>
        <v>1453</v>
      </c>
      <c r="AA12" s="161">
        <f t="shared" si="13"/>
        <v>39.014530084</v>
      </c>
      <c r="AB12">
        <f t="shared" si="16"/>
        <v>1</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34</v>
      </c>
      <c r="AF12">
        <f>IF(I12="","",IF(Q12="",0,IF(AND(Q12&gt;0,COUNTIF('Stats Calculator'!$T$24:$AA$24,Q12)=1),HLOOKUP(Q12,'Stats Calculator'!$T$24:$AA$27,4,FALSE),IF(AND(Q12&gt;0,COUNTIF('Stats Calculator'!$T$25:$AA$25,Q12)=1),HLOOKUP(Q12,'Stats Calculator'!$T$25:$AA$27,3,FALSE)))))</f>
        <v>2</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2</v>
      </c>
      <c r="AL12">
        <f t="shared" si="14"/>
        <v>12</v>
      </c>
    </row>
    <row r="13" spans="1:38" x14ac:dyDescent="0.3">
      <c r="A13">
        <v>12</v>
      </c>
      <c r="B13">
        <f t="shared" si="0"/>
        <v>28</v>
      </c>
      <c r="C13" s="161">
        <f t="shared" si="8"/>
        <v>49.014790083000001</v>
      </c>
      <c r="D13">
        <f t="shared" si="1"/>
        <v>28</v>
      </c>
      <c r="E13" s="4" t="str">
        <f t="shared" si="9"/>
        <v>u</v>
      </c>
      <c r="F13" t="str">
        <f t="shared" si="10"/>
        <v/>
      </c>
      <c r="G13">
        <v>83</v>
      </c>
      <c r="H13" t="str">
        <f>Data!A13</f>
        <v>blakey94</v>
      </c>
      <c r="I13" s="2" t="str">
        <f>Data!C13</f>
        <v>Rabbitohs</v>
      </c>
      <c r="J13" s="2" t="str">
        <f>Data!D13</f>
        <v>Storm</v>
      </c>
      <c r="K13" s="2" t="str">
        <f>Data!E13</f>
        <v>Titans</v>
      </c>
      <c r="L13" s="2" t="str">
        <f>IF(Data!$S$3&lt;Engine!L$1,0,Data!F13)</f>
        <v>Sea Eagles</v>
      </c>
      <c r="M13" s="2" t="str">
        <f>IF(Data!$S$3&lt;Engine!M$1,0,Data!G13)</f>
        <v>Eels</v>
      </c>
      <c r="N13" s="2" t="str">
        <f>IF(Data!$S$3&lt;Engine!N$1,0,Data!H13)</f>
        <v>Roosters</v>
      </c>
      <c r="O13" s="2" t="str">
        <f>IF(Data!$S$3&lt;Engine!O$1,0,Data!I13)</f>
        <v>Warriors</v>
      </c>
      <c r="P13" s="2" t="str">
        <f>IF(Data!$S$3&lt;Engine!P$1,0,Data!J13)</f>
        <v>Dragons</v>
      </c>
      <c r="Q13" s="17" t="str">
        <f>IF(Data!B13=1,Data!K13,"No Tips")</f>
        <v>Eels</v>
      </c>
      <c r="R13" s="2">
        <f>Data!L13</f>
        <v>49</v>
      </c>
      <c r="S13" s="2">
        <f>Data!M13</f>
        <v>1479</v>
      </c>
      <c r="T13" s="15">
        <f>IF(I13="","",COUNTIF('Live Ladder'!P:P,I13)+COUNTIF('Live Ladder'!P:P,J13)+COUNTIF('Live Ladder'!P:P,K13)+COUNTIF('Live Ladder'!P:P,L13)+COUNTIF('Live Ladder'!P:P,M13)+COUNTIF('Live Ladder'!P:P,N13)+COUNTIF('Live Ladder'!P:P,O13)+COUNTIF('Live Ladder'!P:P,P13))</f>
        <v>1</v>
      </c>
      <c r="U13" s="15">
        <f>IF(I13="","",IF(COUNTIF('Live Ladder'!P:P,Engine!Q13)=1,2,IF(COUNTIF('Live Ladder'!Q:Q,Engine!Q13)=1,-2,0)))</f>
        <v>0</v>
      </c>
      <c r="V13" s="15">
        <f>IF(I13="","",IF(T13=Data!S$3,2,0))</f>
        <v>0</v>
      </c>
      <c r="W13" s="15">
        <f t="shared" si="11"/>
        <v>1</v>
      </c>
      <c r="X13" s="15">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34</v>
      </c>
      <c r="Y13">
        <f t="shared" si="4"/>
        <v>50</v>
      </c>
      <c r="Z13">
        <f t="shared" si="12"/>
        <v>1513</v>
      </c>
      <c r="AA13" s="161">
        <f t="shared" si="13"/>
        <v>50.015130083000003</v>
      </c>
      <c r="AB13">
        <f t="shared" si="1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34</v>
      </c>
      <c r="AF13">
        <f>IF(I13="","",IF(Q13="",0,IF(AND(Q13&gt;0,COUNTIF('Stats Calculator'!$T$24:$AA$24,Q13)=1),HLOOKUP(Q13,'Stats Calculator'!$T$24:$AA$27,4,FALSE),IF(AND(Q13&gt;0,COUNTIF('Stats Calculator'!$T$25:$AA$25,Q13)=1),HLOOKUP(Q13,'Stats Calculator'!$T$25:$AA$27,3,FALSE)))))</f>
        <v>5</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
      <c r="A14">
        <v>13</v>
      </c>
      <c r="B14">
        <f t="shared" si="0"/>
        <v>62</v>
      </c>
      <c r="C14" s="161">
        <f t="shared" si="8"/>
        <v>42.013590082</v>
      </c>
      <c r="D14">
        <f t="shared" si="1"/>
        <v>61</v>
      </c>
      <c r="E14" s="4" t="str">
        <f t="shared" si="9"/>
        <v>p</v>
      </c>
      <c r="F14">
        <f t="shared" si="10"/>
        <v>1</v>
      </c>
      <c r="G14">
        <v>82</v>
      </c>
      <c r="H14" t="str">
        <f>Data!A14</f>
        <v>Bridie</v>
      </c>
      <c r="I14" s="2" t="str">
        <f>Data!C14</f>
        <v>Rabbitohs</v>
      </c>
      <c r="J14" s="2" t="str">
        <f>Data!D14</f>
        <v>Storm</v>
      </c>
      <c r="K14" s="2" t="str">
        <f>Data!E14</f>
        <v>Titans</v>
      </c>
      <c r="L14" s="2" t="str">
        <f>IF(Data!$S$3&lt;Engine!L$1,0,Data!F14)</f>
        <v>Panthers</v>
      </c>
      <c r="M14" s="2" t="str">
        <f>IF(Data!$S$3&lt;Engine!M$1,0,Data!G14)</f>
        <v>Eels</v>
      </c>
      <c r="N14" s="2" t="str">
        <f>IF(Data!$S$3&lt;Engine!N$1,0,Data!H14)</f>
        <v>Roosters</v>
      </c>
      <c r="O14" s="2" t="str">
        <f>IF(Data!$S$3&lt;Engine!O$1,0,Data!I14)</f>
        <v>Warriors</v>
      </c>
      <c r="P14" s="2" t="str">
        <f>IF(Data!$S$3&lt;Engine!P$1,0,Data!J14)</f>
        <v>Dragons</v>
      </c>
      <c r="Q14" s="17" t="str">
        <f>IF(Data!B14=1,Data!K14,"No Tips")</f>
        <v>Panthers</v>
      </c>
      <c r="R14" s="2">
        <f>Data!L14</f>
        <v>42</v>
      </c>
      <c r="S14" s="2">
        <f>Data!M14</f>
        <v>1359</v>
      </c>
      <c r="T14" s="15">
        <f>IF(I14="","",COUNTIF('Live Ladder'!P:P,I14)+COUNTIF('Live Ladder'!P:P,J14)+COUNTIF('Live Ladder'!P:P,K14)+COUNTIF('Live Ladder'!P:P,L14)+COUNTIF('Live Ladder'!P:P,M14)+COUNTIF('Live Ladder'!P:P,N14)+COUNTIF('Live Ladder'!P:P,O14)+COUNTIF('Live Ladder'!P:P,P14))</f>
        <v>1</v>
      </c>
      <c r="U14" s="15">
        <f>IF(I14="","",IF(COUNTIF('Live Ladder'!P:P,Engine!Q14)=1,2,IF(COUNTIF('Live Ladder'!Q:Q,Engine!Q14)=1,-2,0)))</f>
        <v>0</v>
      </c>
      <c r="V14" s="15">
        <f>IF(I14="","",IF(T14=Data!S$3,2,0))</f>
        <v>0</v>
      </c>
      <c r="W14" s="15">
        <f t="shared" si="11"/>
        <v>1</v>
      </c>
      <c r="X14" s="15">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34</v>
      </c>
      <c r="Y14">
        <f t="shared" si="4"/>
        <v>43</v>
      </c>
      <c r="Z14">
        <f t="shared" si="12"/>
        <v>1393</v>
      </c>
      <c r="AA14" s="161">
        <f t="shared" si="13"/>
        <v>43.013930082000002</v>
      </c>
      <c r="AB14">
        <f t="shared" si="1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34</v>
      </c>
      <c r="AF14">
        <f>IF(I14="","",IF(Q14="",0,IF(AND(Q14&gt;0,COUNTIF('Stats Calculator'!$T$24:$AA$24,Q14)=1),HLOOKUP(Q14,'Stats Calculator'!$T$24:$AA$27,4,FALSE),IF(AND(Q14&gt;0,COUNTIF('Stats Calculator'!$T$25:$AA$25,Q14)=1),HLOOKUP(Q14,'Stats Calculator'!$T$25:$AA$27,3,FALSE)))))</f>
        <v>4</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2</v>
      </c>
      <c r="AL14">
        <f t="shared" si="14"/>
        <v>12</v>
      </c>
    </row>
    <row r="15" spans="1:38" x14ac:dyDescent="0.3">
      <c r="A15">
        <v>14</v>
      </c>
      <c r="B15">
        <f t="shared" si="0"/>
        <v>37</v>
      </c>
      <c r="C15" s="161">
        <f t="shared" si="8"/>
        <v>48.014130081000005</v>
      </c>
      <c r="D15">
        <f t="shared" si="1"/>
        <v>37</v>
      </c>
      <c r="E15" s="4" t="str">
        <f t="shared" si="9"/>
        <v>u</v>
      </c>
      <c r="F15" t="str">
        <f t="shared" si="10"/>
        <v/>
      </c>
      <c r="G15">
        <v>81</v>
      </c>
      <c r="H15" t="str">
        <f>Data!A15</f>
        <v>Budgie</v>
      </c>
      <c r="I15" s="2" t="str">
        <f>Data!C15</f>
        <v>Rabbitohs</v>
      </c>
      <c r="J15" s="2" t="str">
        <f>Data!D15</f>
        <v>Storm</v>
      </c>
      <c r="K15" s="2" t="str">
        <f>Data!E15</f>
        <v>Broncos</v>
      </c>
      <c r="L15" s="2" t="str">
        <f>IF(Data!$S$3&lt;Engine!L$1,0,Data!F15)</f>
        <v>Panthers</v>
      </c>
      <c r="M15" s="2" t="str">
        <f>IF(Data!$S$3&lt;Engine!M$1,0,Data!G15)</f>
        <v>Eels</v>
      </c>
      <c r="N15" s="2" t="str">
        <f>IF(Data!$S$3&lt;Engine!N$1,0,Data!H15)</f>
        <v>Roosters</v>
      </c>
      <c r="O15" s="2" t="str">
        <f>IF(Data!$S$3&lt;Engine!O$1,0,Data!I15)</f>
        <v>Warriors</v>
      </c>
      <c r="P15" s="2" t="str">
        <f>IF(Data!$S$3&lt;Engine!P$1,0,Data!J15)</f>
        <v>Dragons</v>
      </c>
      <c r="Q15" s="17" t="str">
        <f>IF(Data!B15=1,Data!K15,"No Tips")</f>
        <v>Storm</v>
      </c>
      <c r="R15" s="2">
        <f>Data!L15</f>
        <v>48</v>
      </c>
      <c r="S15" s="2">
        <f>Data!M15</f>
        <v>1413</v>
      </c>
      <c r="T15" s="15">
        <f>IF(I15="","",COUNTIF('Live Ladder'!P:P,I15)+COUNTIF('Live Ladder'!P:P,J15)+COUNTIF('Live Ladder'!P:P,K15)+COUNTIF('Live Ladder'!P:P,L15)+COUNTIF('Live Ladder'!P:P,M15)+COUNTIF('Live Ladder'!P:P,N15)+COUNTIF('Live Ladder'!P:P,O15)+COUNTIF('Live Ladder'!P:P,P15))</f>
        <v>1</v>
      </c>
      <c r="U15" s="15">
        <f>IF(I15="","",IF(COUNTIF('Live Ladder'!P:P,Engine!Q15)=1,2,IF(COUNTIF('Live Ladder'!Q:Q,Engine!Q15)=1,-2,0)))</f>
        <v>0</v>
      </c>
      <c r="V15" s="15">
        <f>IF(I15="","",IF(T15=Data!S$3,2,0))</f>
        <v>0</v>
      </c>
      <c r="W15" s="15">
        <f t="shared" si="11"/>
        <v>1</v>
      </c>
      <c r="X15" s="15">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34</v>
      </c>
      <c r="Y15">
        <f t="shared" si="4"/>
        <v>49</v>
      </c>
      <c r="Z15">
        <f t="shared" si="12"/>
        <v>1447</v>
      </c>
      <c r="AA15" s="161">
        <f t="shared" si="13"/>
        <v>49.014470081000006</v>
      </c>
      <c r="AB15">
        <f t="shared" si="1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34</v>
      </c>
      <c r="AF15">
        <f>IF(I15="","",IF(Q15="",0,IF(AND(Q15&gt;0,COUNTIF('Stats Calculator'!$T$24:$AA$24,Q15)=1),HLOOKUP(Q15,'Stats Calculator'!$T$24:$AA$27,4,FALSE),IF(AND(Q15&gt;0,COUNTIF('Stats Calculator'!$T$25:$AA$25,Q15)=1),HLOOKUP(Q15,'Stats Calculator'!$T$25:$AA$27,3,FALSE)))))</f>
        <v>2</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2</v>
      </c>
      <c r="AL15">
        <f t="shared" si="14"/>
        <v>12</v>
      </c>
    </row>
    <row r="16" spans="1:38" x14ac:dyDescent="0.3">
      <c r="A16">
        <v>15</v>
      </c>
      <c r="B16">
        <f t="shared" si="0"/>
        <v>24</v>
      </c>
      <c r="C16" s="161">
        <f t="shared" si="8"/>
        <v>49.015260079999997</v>
      </c>
      <c r="D16">
        <f t="shared" si="1"/>
        <v>24</v>
      </c>
      <c r="E16" s="4" t="str">
        <f t="shared" si="9"/>
        <v>u</v>
      </c>
      <c r="F16" t="str">
        <f t="shared" si="10"/>
        <v/>
      </c>
      <c r="G16">
        <v>80</v>
      </c>
      <c r="H16" t="str">
        <f>Data!A16</f>
        <v>Caline</v>
      </c>
      <c r="I16" s="2" t="str">
        <f>Data!C16</f>
        <v>Rabbitohs</v>
      </c>
      <c r="J16" s="2" t="str">
        <f>Data!D16</f>
        <v>Storm</v>
      </c>
      <c r="K16" s="2" t="str">
        <f>Data!E16</f>
        <v>Titans</v>
      </c>
      <c r="L16" s="2" t="str">
        <f>IF(Data!$S$3&lt;Engine!L$1,0,Data!F16)</f>
        <v>Panthers</v>
      </c>
      <c r="M16" s="2" t="str">
        <f>IF(Data!$S$3&lt;Engine!M$1,0,Data!G16)</f>
        <v>Eels</v>
      </c>
      <c r="N16" s="2" t="str">
        <f>IF(Data!$S$3&lt;Engine!N$1,0,Data!H16)</f>
        <v>Roosters</v>
      </c>
      <c r="O16" s="2" t="str">
        <f>IF(Data!$S$3&lt;Engine!O$1,0,Data!I16)</f>
        <v>Warriors</v>
      </c>
      <c r="P16" s="2" t="str">
        <f>IF(Data!$S$3&lt;Engine!P$1,0,Data!J16)</f>
        <v>Dragons</v>
      </c>
      <c r="Q16" s="17" t="str">
        <f>IF(Data!B16=1,Data!K16,"No Tips")</f>
        <v>Panthers</v>
      </c>
      <c r="R16" s="2">
        <f>Data!L16</f>
        <v>49</v>
      </c>
      <c r="S16" s="2">
        <f>Data!M16</f>
        <v>1526</v>
      </c>
      <c r="T16" s="15">
        <f>IF(I16="","",COUNTIF('Live Ladder'!P:P,I16)+COUNTIF('Live Ladder'!P:P,J16)+COUNTIF('Live Ladder'!P:P,K16)+COUNTIF('Live Ladder'!P:P,L16)+COUNTIF('Live Ladder'!P:P,M16)+COUNTIF('Live Ladder'!P:P,N16)+COUNTIF('Live Ladder'!P:P,O16)+COUNTIF('Live Ladder'!P:P,P16))</f>
        <v>1</v>
      </c>
      <c r="U16" s="15">
        <f>IF(I16="","",IF(COUNTIF('Live Ladder'!P:P,Engine!Q16)=1,2,IF(COUNTIF('Live Ladder'!Q:Q,Engine!Q16)=1,-2,0)))</f>
        <v>0</v>
      </c>
      <c r="V16" s="15">
        <f>IF(I16="","",IF(T16=Data!S$3,2,0))</f>
        <v>0</v>
      </c>
      <c r="W16" s="15">
        <f t="shared" si="11"/>
        <v>1</v>
      </c>
      <c r="X16" s="15">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34</v>
      </c>
      <c r="Y16">
        <f>IF(H16="ZZZZZZ Suspend","",R16+W16)</f>
        <v>50</v>
      </c>
      <c r="Z16">
        <f t="shared" si="12"/>
        <v>1560</v>
      </c>
      <c r="AA16" s="161">
        <f t="shared" si="13"/>
        <v>50.015600079999999</v>
      </c>
      <c r="AB16">
        <f t="shared" si="16"/>
        <v>1</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34</v>
      </c>
      <c r="AF16">
        <f>IF(I16="","",IF(Q16="",0,IF(AND(Q16&gt;0,COUNTIF('Stats Calculator'!$T$24:$AA$24,Q16)=1),HLOOKUP(Q16,'Stats Calculator'!$T$24:$AA$27,4,FALSE),IF(AND(Q16&gt;0,COUNTIF('Stats Calculator'!$T$25:$AA$25,Q16)=1),HLOOKUP(Q16,'Stats Calculator'!$T$25:$AA$27,3,FALSE)))))</f>
        <v>4</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2</v>
      </c>
      <c r="AL16">
        <f t="shared" si="14"/>
        <v>12</v>
      </c>
    </row>
    <row r="17" spans="1:38" x14ac:dyDescent="0.3">
      <c r="A17">
        <v>16</v>
      </c>
      <c r="B17">
        <f t="shared" si="0"/>
        <v>45</v>
      </c>
      <c r="C17" s="161">
        <f t="shared" si="8"/>
        <v>47.014380079000006</v>
      </c>
      <c r="D17">
        <f t="shared" si="1"/>
        <v>43</v>
      </c>
      <c r="E17" s="4" t="str">
        <f t="shared" si="9"/>
        <v>p</v>
      </c>
      <c r="F17">
        <f t="shared" si="10"/>
        <v>2</v>
      </c>
      <c r="G17">
        <v>79</v>
      </c>
      <c r="H17" t="str">
        <f>Data!A17</f>
        <v>Camo</v>
      </c>
      <c r="I17" s="2" t="str">
        <f>Data!C17</f>
        <v>Rabbitohs</v>
      </c>
      <c r="J17" s="2" t="str">
        <f>Data!D17</f>
        <v>Storm</v>
      </c>
      <c r="K17" s="2" t="str">
        <f>Data!E17</f>
        <v>Titans</v>
      </c>
      <c r="L17" s="2" t="str">
        <f>IF(Data!$S$3&lt;Engine!L$1,0,Data!F17)</f>
        <v>Sea Eagles</v>
      </c>
      <c r="M17" s="2" t="str">
        <f>IF(Data!$S$3&lt;Engine!M$1,0,Data!G17)</f>
        <v>Eels</v>
      </c>
      <c r="N17" s="2" t="str">
        <f>IF(Data!$S$3&lt;Engine!N$1,0,Data!H17)</f>
        <v>Roosters</v>
      </c>
      <c r="O17" s="2" t="str">
        <f>IF(Data!$S$3&lt;Engine!O$1,0,Data!I17)</f>
        <v>Warriors</v>
      </c>
      <c r="P17" s="2" t="str">
        <f>IF(Data!$S$3&lt;Engine!P$1,0,Data!J17)</f>
        <v>Dragons</v>
      </c>
      <c r="Q17" s="17" t="str">
        <f>IF(Data!B17=1,Data!K17,"No Tips")</f>
        <v>Storm</v>
      </c>
      <c r="R17" s="2">
        <f>Data!L17</f>
        <v>47</v>
      </c>
      <c r="S17" s="2">
        <f>Data!M17</f>
        <v>1438</v>
      </c>
      <c r="T17" s="15">
        <f>IF(I17="","",COUNTIF('Live Ladder'!P:P,I17)+COUNTIF('Live Ladder'!P:P,J17)+COUNTIF('Live Ladder'!P:P,K17)+COUNTIF('Live Ladder'!P:P,L17)+COUNTIF('Live Ladder'!P:P,M17)+COUNTIF('Live Ladder'!P:P,N17)+COUNTIF('Live Ladder'!P:P,O17)+COUNTIF('Live Ladder'!P:P,P17))</f>
        <v>1</v>
      </c>
      <c r="U17" s="15">
        <f>IF(I17="","",IF(COUNTIF('Live Ladder'!P:P,Engine!Q17)=1,2,IF(COUNTIF('Live Ladder'!Q:Q,Engine!Q17)=1,-2,0)))</f>
        <v>0</v>
      </c>
      <c r="V17" s="15">
        <f>IF(I17="","",IF(T17=Data!S$3,2,0))</f>
        <v>0</v>
      </c>
      <c r="W17" s="15">
        <f t="shared" si="11"/>
        <v>1</v>
      </c>
      <c r="X17" s="15">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34</v>
      </c>
      <c r="Y17">
        <f t="shared" ref="Y17:Y80" si="17">IF(H17="ZZZZZZ Suspend","",R17+W17)</f>
        <v>48</v>
      </c>
      <c r="Z17">
        <f t="shared" si="12"/>
        <v>1472</v>
      </c>
      <c r="AA17" s="161">
        <f t="shared" si="13"/>
        <v>48.014720079</v>
      </c>
      <c r="AB17">
        <f t="shared" si="16"/>
        <v>1</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34</v>
      </c>
      <c r="AD17" s="16"/>
      <c r="AE17" s="16"/>
      <c r="AF17">
        <f>IF(I17="","",IF(Q17="",0,IF(AND(Q17&gt;0,COUNTIF('Stats Calculator'!$T$24:$AA$24,Q17)=1),HLOOKUP(Q17,'Stats Calculator'!$T$24:$AA$27,4,FALSE),IF(AND(Q17&gt;0,COUNTIF('Stats Calculator'!$T$25:$AA$25,Q17)=1),HLOOKUP(Q17,'Stats Calculator'!$T$25:$AA$27,3,FALSE)))))</f>
        <v>2</v>
      </c>
      <c r="AG17">
        <f>IF(I17="","",COUNTIF(I17,'Stats Calculator'!E$31)+COUNTIF(J17,'Stats Calculator'!E$32)+COUNTIF(K17,'Stats Calculator'!E$33)+COUNTIF(L17,'Stats Calculator'!E$34)+COUNTIF(M17,'Stats Calculator'!E$35)+COUNTIF(N17,'Stats Calculator'!E$36)+COUNTIF(O17,'Stats Calculator'!E$37)+COUNTIF(P17,'Stats Calculator'!E$38)-8+Data!S$3)</f>
        <v>1</v>
      </c>
      <c r="AH17">
        <f>IF(I17="","",IF(Q17="",0,IF(Q17=0,0,IF(VLOOKUP(Engine!AF17,'Stats Calculator'!B$31:E$38,4,FALSE)="",0,IF(VLOOKUP(Engine!AF17,'Stats Calculator'!B$31:E$38,4,FALSE)=Q17,2,-2)))))</f>
        <v>0</v>
      </c>
      <c r="AI17">
        <f>IF(I17="","",Data!S$3-COUNTA('Stats Calculator'!E$31:E$38))</f>
        <v>7</v>
      </c>
      <c r="AJ17">
        <f>IF(I17="","",IF(AF17=0,0,IF(VLOOKUP(AF17,'Stats Calculator'!B$31:E$38,4,FALSE)&gt;0,0,2)))</f>
        <v>2</v>
      </c>
      <c r="AK17">
        <f>IF(I17="","",IF(Data!S$3-Engine!AI17=AG17,2,0))</f>
        <v>2</v>
      </c>
      <c r="AL17">
        <f t="shared" si="14"/>
        <v>12</v>
      </c>
    </row>
    <row r="18" spans="1:38" x14ac:dyDescent="0.3">
      <c r="A18">
        <v>17</v>
      </c>
      <c r="B18">
        <f t="shared" si="0"/>
        <v>1</v>
      </c>
      <c r="C18" s="161">
        <f t="shared" si="8"/>
        <v>56.015430078000001</v>
      </c>
      <c r="D18">
        <f t="shared" si="1"/>
        <v>1</v>
      </c>
      <c r="E18" s="4" t="str">
        <f t="shared" si="9"/>
        <v>u</v>
      </c>
      <c r="F18" t="str">
        <f t="shared" si="10"/>
        <v/>
      </c>
      <c r="G18">
        <v>78</v>
      </c>
      <c r="H18" t="str">
        <f>Data!A18</f>
        <v>Carlos</v>
      </c>
      <c r="I18" s="2" t="str">
        <f>Data!C18</f>
        <v>Rabbitohs</v>
      </c>
      <c r="J18" s="2" t="str">
        <f>Data!D18</f>
        <v>Storm</v>
      </c>
      <c r="K18" s="2" t="str">
        <f>Data!E18</f>
        <v>Titans</v>
      </c>
      <c r="L18" s="2" t="str">
        <f>IF(Data!$S$3&lt;Engine!L$1,0,Data!F18)</f>
        <v>Panthers</v>
      </c>
      <c r="M18" s="2" t="str">
        <f>IF(Data!$S$3&lt;Engine!M$1,0,Data!G18)</f>
        <v>Eels</v>
      </c>
      <c r="N18" s="2" t="str">
        <f>IF(Data!$S$3&lt;Engine!N$1,0,Data!H18)</f>
        <v>Roosters</v>
      </c>
      <c r="O18" s="2" t="str">
        <f>IF(Data!$S$3&lt;Engine!O$1,0,Data!I18)</f>
        <v>Warriors</v>
      </c>
      <c r="P18" s="2" t="str">
        <f>IF(Data!$S$3&lt;Engine!P$1,0,Data!J18)</f>
        <v>Dragons</v>
      </c>
      <c r="Q18" s="17" t="str">
        <f>IF(Data!B18=1,Data!K18,"No Tips")</f>
        <v>Eels</v>
      </c>
      <c r="R18" s="2">
        <f>Data!L18</f>
        <v>56</v>
      </c>
      <c r="S18" s="2">
        <f>Data!M18</f>
        <v>1543</v>
      </c>
      <c r="T18" s="15">
        <f>IF(I18="","",COUNTIF('Live Ladder'!P:P,I18)+COUNTIF('Live Ladder'!P:P,J18)+COUNTIF('Live Ladder'!P:P,K18)+COUNTIF('Live Ladder'!P:P,L18)+COUNTIF('Live Ladder'!P:P,M18)+COUNTIF('Live Ladder'!P:P,N18)+COUNTIF('Live Ladder'!P:P,O18)+COUNTIF('Live Ladder'!P:P,P18))</f>
        <v>1</v>
      </c>
      <c r="U18" s="15">
        <f>IF(I18="","",IF(COUNTIF('Live Ladder'!P:P,Engine!Q18)=1,2,IF(COUNTIF('Live Ladder'!Q:Q,Engine!Q18)=1,-2,0)))</f>
        <v>0</v>
      </c>
      <c r="V18" s="15">
        <f>IF(I18="","",IF(T18=Data!S$3,2,0))</f>
        <v>0</v>
      </c>
      <c r="W18" s="15">
        <f t="shared" si="11"/>
        <v>1</v>
      </c>
      <c r="X18" s="15">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34</v>
      </c>
      <c r="Y18">
        <f t="shared" si="17"/>
        <v>57</v>
      </c>
      <c r="Z18">
        <f t="shared" si="12"/>
        <v>1577</v>
      </c>
      <c r="AA18" s="161">
        <f t="shared" si="13"/>
        <v>57.015770078000003</v>
      </c>
      <c r="AB18">
        <f t="shared" si="1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34</v>
      </c>
      <c r="AF18">
        <f>IF(I18="","",IF(Q18="",0,IF(AND(Q18&gt;0,COUNTIF('Stats Calculator'!$T$24:$AA$24,Q18)=1),HLOOKUP(Q18,'Stats Calculator'!$T$24:$AA$27,4,FALSE),IF(AND(Q18&gt;0,COUNTIF('Stats Calculator'!$T$25:$AA$25,Q18)=1),HLOOKUP(Q18,'Stats Calculator'!$T$25:$AA$27,3,FALSE)))))</f>
        <v>5</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
      <c r="A19">
        <v>18</v>
      </c>
      <c r="B19">
        <f t="shared" si="0"/>
        <v>74</v>
      </c>
      <c r="C19" s="161">
        <f t="shared" si="8"/>
        <v>19.011110076999998</v>
      </c>
      <c r="D19">
        <f t="shared" si="1"/>
        <v>74</v>
      </c>
      <c r="E19" s="4" t="str">
        <f t="shared" si="9"/>
        <v>u</v>
      </c>
      <c r="F19" t="str">
        <f t="shared" si="10"/>
        <v/>
      </c>
      <c r="G19">
        <v>77</v>
      </c>
      <c r="H19" t="str">
        <f>Data!A19</f>
        <v>chur_moi</v>
      </c>
      <c r="I19" s="2" t="str">
        <f>Data!C19</f>
        <v/>
      </c>
      <c r="J19" s="2" t="str">
        <f>Data!D19</f>
        <v/>
      </c>
      <c r="K19" s="2" t="str">
        <f>Data!E19</f>
        <v/>
      </c>
      <c r="L19" s="2" t="str">
        <f>IF(Data!$S$3&lt;Engine!L$1,0,Data!F19)</f>
        <v/>
      </c>
      <c r="M19" s="2" t="str">
        <f>IF(Data!$S$3&lt;Engine!M$1,0,Data!G19)</f>
        <v/>
      </c>
      <c r="N19" s="2" t="str">
        <f>IF(Data!$S$3&lt;Engine!N$1,0,Data!H19)</f>
        <v/>
      </c>
      <c r="O19" s="2" t="str">
        <f>IF(Data!$S$3&lt;Engine!O$1,0,Data!I19)</f>
        <v/>
      </c>
      <c r="P19" s="2" t="str">
        <f>IF(Data!$S$3&lt;Engine!P$1,0,Data!J19)</f>
        <v/>
      </c>
      <c r="Q19" s="17" t="str">
        <f>IF(Data!B19=1,Data!K19,"No Tips")</f>
        <v>No Tips</v>
      </c>
      <c r="R19" s="2">
        <f>Data!L19</f>
        <v>19</v>
      </c>
      <c r="S19" s="2">
        <f>Data!M19</f>
        <v>1111</v>
      </c>
      <c r="T19" s="15" t="str">
        <f>IF(I19="","",COUNTIF('Live Ladder'!P:P,I19)+COUNTIF('Live Ladder'!P:P,J19)+COUNTIF('Live Ladder'!P:P,K19)+COUNTIF('Live Ladder'!P:P,L19)+COUNTIF('Live Ladder'!P:P,M19)+COUNTIF('Live Ladder'!P:P,N19)+COUNTIF('Live Ladder'!P:P,O19)+COUNTIF('Live Ladder'!P:P,P19))</f>
        <v/>
      </c>
      <c r="U19" s="15" t="str">
        <f>IF(I19="","",IF(COUNTIF('Live Ladder'!P:P,Engine!Q19)=1,2,IF(COUNTIF('Live Ladder'!Q:Q,Engine!Q19)=1,-2,0)))</f>
        <v/>
      </c>
      <c r="V19" s="15" t="str">
        <f>IF(I19="","",IF(T19=Data!S$3,2,0))</f>
        <v/>
      </c>
      <c r="W19" s="15">
        <f t="shared" si="11"/>
        <v>0</v>
      </c>
      <c r="X19" s="15">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20</v>
      </c>
      <c r="Y19">
        <f t="shared" si="17"/>
        <v>19</v>
      </c>
      <c r="Z19">
        <f t="shared" si="12"/>
        <v>1131</v>
      </c>
      <c r="AA19" s="161">
        <f t="shared" si="13"/>
        <v>19.011310077000001</v>
      </c>
      <c r="AB19">
        <f t="shared" si="16"/>
        <v>0</v>
      </c>
      <c r="AC19" t="str">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
      </c>
      <c r="AF19" t="str">
        <f>IF(I19="","",IF(Q19="",0,IF(AND(Q19&gt;0,COUNTIF('Stats Calculator'!$T$24:$AA$24,Q19)=1),HLOOKUP(Q19,'Stats Calculator'!$T$24:$AA$27,4,FALSE),IF(AND(Q19&gt;0,COUNTIF('Stats Calculator'!$T$25:$AA$25,Q19)=1),HLOOKUP(Q19,'Stats Calculator'!$T$25:$AA$27,3,FALSE)))))</f>
        <v/>
      </c>
      <c r="AG19" t="str">
        <f>IF(I19="","",COUNTIF(I19,'Stats Calculator'!E$31)+COUNTIF(J19,'Stats Calculator'!E$32)+COUNTIF(K19,'Stats Calculator'!E$33)+COUNTIF(L19,'Stats Calculator'!E$34)+COUNTIF(M19,'Stats Calculator'!E$35)+COUNTIF(N19,'Stats Calculator'!E$36)+COUNTIF(O19,'Stats Calculator'!E$37)+COUNTIF(P19,'Stats Calculator'!E$38)-8+Data!S$3)</f>
        <v/>
      </c>
      <c r="AH19" t="str">
        <f>IF(I19="","",IF(Q19="",0,IF(Q19=0,0,IF(VLOOKUP(Engine!AF19,'Stats Calculator'!B$31:E$38,4,FALSE)="",0,IF(VLOOKUP(Engine!AF19,'Stats Calculator'!B$31:E$38,4,FALSE)=Q19,2,-2)))))</f>
        <v/>
      </c>
      <c r="AI19" t="str">
        <f>IF(I19="","",Data!S$3-COUNTA('Stats Calculator'!E$31:E$38))</f>
        <v/>
      </c>
      <c r="AJ19" t="str">
        <f>IF(I19="","",IF(AF19=0,0,IF(VLOOKUP(AF19,'Stats Calculator'!B$31:E$38,4,FALSE)&gt;0,0,2)))</f>
        <v/>
      </c>
      <c r="AK19" t="str">
        <f>IF(I19="","",IF(Data!S$3-Engine!AI19=AG19,2,0))</f>
        <v/>
      </c>
      <c r="AL19" t="str">
        <f t="shared" si="14"/>
        <v/>
      </c>
    </row>
    <row r="20" spans="1:38" x14ac:dyDescent="0.3">
      <c r="A20">
        <v>19</v>
      </c>
      <c r="B20">
        <f t="shared" si="0"/>
        <v>54</v>
      </c>
      <c r="C20" s="161">
        <f t="shared" si="8"/>
        <v>46.014460075999999</v>
      </c>
      <c r="D20">
        <f t="shared" si="1"/>
        <v>53</v>
      </c>
      <c r="E20" s="4" t="str">
        <f t="shared" si="9"/>
        <v>p</v>
      </c>
      <c r="F20">
        <f t="shared" si="10"/>
        <v>1</v>
      </c>
      <c r="G20">
        <v>76</v>
      </c>
      <c r="H20" t="str">
        <f>Data!A20</f>
        <v>Cruella</v>
      </c>
      <c r="I20" s="2" t="str">
        <f>Data!C20</f>
        <v>Rabbitohs</v>
      </c>
      <c r="J20" s="2" t="str">
        <f>Data!D20</f>
        <v>Storm</v>
      </c>
      <c r="K20" s="2" t="str">
        <f>Data!E20</f>
        <v>Titans</v>
      </c>
      <c r="L20" s="2" t="str">
        <f>IF(Data!$S$3&lt;Engine!L$1,0,Data!F20)</f>
        <v>Panthers</v>
      </c>
      <c r="M20" s="2" t="str">
        <f>IF(Data!$S$3&lt;Engine!M$1,0,Data!G20)</f>
        <v>Eels</v>
      </c>
      <c r="N20" s="2" t="str">
        <f>IF(Data!$S$3&lt;Engine!N$1,0,Data!H20)</f>
        <v>Roosters</v>
      </c>
      <c r="O20" s="2" t="str">
        <f>IF(Data!$S$3&lt;Engine!O$1,0,Data!I20)</f>
        <v>Warriors</v>
      </c>
      <c r="P20" s="2" t="str">
        <f>IF(Data!$S$3&lt;Engine!P$1,0,Data!J20)</f>
        <v>Dragons</v>
      </c>
      <c r="Q20" s="17" t="str">
        <f>IF(Data!B20=1,Data!K20,"No Tips")</f>
        <v>Panthers</v>
      </c>
      <c r="R20" s="2">
        <f>Data!L20</f>
        <v>46</v>
      </c>
      <c r="S20" s="2">
        <f>Data!M20</f>
        <v>1446</v>
      </c>
      <c r="T20" s="15">
        <f>IF(I20="","",COUNTIF('Live Ladder'!P:P,I20)+COUNTIF('Live Ladder'!P:P,J20)+COUNTIF('Live Ladder'!P:P,K20)+COUNTIF('Live Ladder'!P:P,L20)+COUNTIF('Live Ladder'!P:P,M20)+COUNTIF('Live Ladder'!P:P,N20)+COUNTIF('Live Ladder'!P:P,O20)+COUNTIF('Live Ladder'!P:P,P20))</f>
        <v>1</v>
      </c>
      <c r="U20" s="15">
        <f>IF(I20="","",IF(COUNTIF('Live Ladder'!P:P,Engine!Q20)=1,2,IF(COUNTIF('Live Ladder'!Q:Q,Engine!Q20)=1,-2,0)))</f>
        <v>0</v>
      </c>
      <c r="V20" s="15">
        <f>IF(I20="","",IF(T20=Data!S$3,2,0))</f>
        <v>0</v>
      </c>
      <c r="W20" s="15">
        <f t="shared" si="11"/>
        <v>1</v>
      </c>
      <c r="X20" s="15">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34</v>
      </c>
      <c r="Y20">
        <f t="shared" si="17"/>
        <v>47</v>
      </c>
      <c r="Z20">
        <f t="shared" si="12"/>
        <v>1480</v>
      </c>
      <c r="AA20" s="161">
        <f t="shared" si="13"/>
        <v>47.014800076</v>
      </c>
      <c r="AB20">
        <f t="shared" si="1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34</v>
      </c>
      <c r="AF20">
        <f>IF(I20="","",IF(Q20="",0,IF(AND(Q20&gt;0,COUNTIF('Stats Calculator'!$T$24:$AA$24,Q20)=1),HLOOKUP(Q20,'Stats Calculator'!$T$24:$AA$27,4,FALSE),IF(AND(Q20&gt;0,COUNTIF('Stats Calculator'!$T$25:$AA$25,Q20)=1),HLOOKUP(Q20,'Stats Calculator'!$T$25:$AA$27,3,FALSE)))))</f>
        <v>4</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2</v>
      </c>
      <c r="AL20">
        <f t="shared" si="14"/>
        <v>12</v>
      </c>
    </row>
    <row r="21" spans="1:38" x14ac:dyDescent="0.3">
      <c r="A21">
        <v>20</v>
      </c>
      <c r="B21">
        <f t="shared" si="0"/>
        <v>31</v>
      </c>
      <c r="C21" s="161">
        <f t="shared" si="8"/>
        <v>48.015070075000004</v>
      </c>
      <c r="D21">
        <f t="shared" si="1"/>
        <v>30</v>
      </c>
      <c r="E21" s="4" t="str">
        <f t="shared" si="9"/>
        <v>p</v>
      </c>
      <c r="F21">
        <f t="shared" si="10"/>
        <v>1</v>
      </c>
      <c r="G21">
        <v>75</v>
      </c>
      <c r="H21" t="str">
        <f>Data!A21</f>
        <v>DaveM</v>
      </c>
      <c r="I21" s="2" t="str">
        <f>Data!C21</f>
        <v>Rabbitohs</v>
      </c>
      <c r="J21" s="2" t="str">
        <f>Data!D21</f>
        <v>Storm</v>
      </c>
      <c r="K21" s="2" t="str">
        <f>Data!E21</f>
        <v>Titans</v>
      </c>
      <c r="L21" s="2" t="str">
        <f>IF(Data!$S$3&lt;Engine!L$1,0,Data!F21)</f>
        <v>Panthers</v>
      </c>
      <c r="M21" s="2" t="str">
        <f>IF(Data!$S$3&lt;Engine!M$1,0,Data!G21)</f>
        <v>Eels</v>
      </c>
      <c r="N21" s="2" t="str">
        <f>IF(Data!$S$3&lt;Engine!N$1,0,Data!H21)</f>
        <v>Roosters</v>
      </c>
      <c r="O21" s="2" t="str">
        <f>IF(Data!$S$3&lt;Engine!O$1,0,Data!I21)</f>
        <v>Warriors</v>
      </c>
      <c r="P21" s="2" t="str">
        <f>IF(Data!$S$3&lt;Engine!P$1,0,Data!J21)</f>
        <v>Dragons</v>
      </c>
      <c r="Q21" s="17" t="str">
        <f>IF(Data!B21=1,Data!K21,"No Tips")</f>
        <v>Eels</v>
      </c>
      <c r="R21" s="2">
        <f>Data!L21</f>
        <v>48</v>
      </c>
      <c r="S21" s="2">
        <f>Data!M21</f>
        <v>1507</v>
      </c>
      <c r="T21" s="15">
        <f>IF(I21="","",COUNTIF('Live Ladder'!P:P,I21)+COUNTIF('Live Ladder'!P:P,J21)+COUNTIF('Live Ladder'!P:P,K21)+COUNTIF('Live Ladder'!P:P,L21)+COUNTIF('Live Ladder'!P:P,M21)+COUNTIF('Live Ladder'!P:P,N21)+COUNTIF('Live Ladder'!P:P,O21)+COUNTIF('Live Ladder'!P:P,P21))</f>
        <v>1</v>
      </c>
      <c r="U21" s="15">
        <f>IF(I21="","",IF(COUNTIF('Live Ladder'!P:P,Engine!Q21)=1,2,IF(COUNTIF('Live Ladder'!Q:Q,Engine!Q21)=1,-2,0)))</f>
        <v>0</v>
      </c>
      <c r="V21" s="15">
        <f>IF(I21="","",IF(T21=Data!S$3,2,0))</f>
        <v>0</v>
      </c>
      <c r="W21" s="15">
        <f t="shared" si="11"/>
        <v>1</v>
      </c>
      <c r="X21" s="15">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34</v>
      </c>
      <c r="Y21">
        <f t="shared" si="17"/>
        <v>49</v>
      </c>
      <c r="Z21">
        <f t="shared" si="12"/>
        <v>1541</v>
      </c>
      <c r="AA21" s="161">
        <f t="shared" si="13"/>
        <v>49.015410075000005</v>
      </c>
      <c r="AB21">
        <f t="shared" si="1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34</v>
      </c>
      <c r="AF21">
        <f>IF(I21="","",IF(Q21="",0,IF(AND(Q21&gt;0,COUNTIF('Stats Calculator'!$T$24:$AA$24,Q21)=1),HLOOKUP(Q21,'Stats Calculator'!$T$24:$AA$27,4,FALSE),IF(AND(Q21&gt;0,COUNTIF('Stats Calculator'!$T$25:$AA$25,Q21)=1),HLOOKUP(Q21,'Stats Calculator'!$T$25:$AA$27,3,FALSE)))))</f>
        <v>5</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2</v>
      </c>
      <c r="AL21">
        <f t="shared" si="14"/>
        <v>12</v>
      </c>
    </row>
    <row r="22" spans="1:38" x14ac:dyDescent="0.3">
      <c r="A22">
        <v>21</v>
      </c>
      <c r="B22">
        <f t="shared" si="0"/>
        <v>40</v>
      </c>
      <c r="C22" s="161">
        <f t="shared" si="8"/>
        <v>47.014820073999999</v>
      </c>
      <c r="D22">
        <f t="shared" si="1"/>
        <v>38</v>
      </c>
      <c r="E22" s="4" t="str">
        <f t="shared" si="9"/>
        <v>p</v>
      </c>
      <c r="F22">
        <f t="shared" si="10"/>
        <v>2</v>
      </c>
      <c r="G22">
        <v>74</v>
      </c>
      <c r="H22" t="str">
        <f>Data!A22</f>
        <v>Defending Champion</v>
      </c>
      <c r="I22" s="2" t="str">
        <f>Data!C22</f>
        <v>Rabbitohs</v>
      </c>
      <c r="J22" s="2" t="str">
        <f>Data!D22</f>
        <v>Storm</v>
      </c>
      <c r="K22" s="2" t="str">
        <f>Data!E22</f>
        <v>Titans</v>
      </c>
      <c r="L22" s="2" t="str">
        <f>IF(Data!$S$3&lt;Engine!L$1,0,Data!F22)</f>
        <v>Panthers</v>
      </c>
      <c r="M22" s="2" t="str">
        <f>IF(Data!$S$3&lt;Engine!M$1,0,Data!G22)</f>
        <v>Eels</v>
      </c>
      <c r="N22" s="2" t="str">
        <f>IF(Data!$S$3&lt;Engine!N$1,0,Data!H22)</f>
        <v>Roosters</v>
      </c>
      <c r="O22" s="2" t="str">
        <f>IF(Data!$S$3&lt;Engine!O$1,0,Data!I22)</f>
        <v>Warriors</v>
      </c>
      <c r="P22" s="2" t="str">
        <f>IF(Data!$S$3&lt;Engine!P$1,0,Data!J22)</f>
        <v>Dragons</v>
      </c>
      <c r="Q22" s="17" t="str">
        <f>IF(Data!B22=1,Data!K22,"No Tips")</f>
        <v>Storm</v>
      </c>
      <c r="R22" s="2">
        <f>Data!L22</f>
        <v>47</v>
      </c>
      <c r="S22" s="2">
        <f>Data!M22</f>
        <v>1482</v>
      </c>
      <c r="T22" s="15">
        <f>IF(I22="","",COUNTIF('Live Ladder'!P:P,I22)+COUNTIF('Live Ladder'!P:P,J22)+COUNTIF('Live Ladder'!P:P,K22)+COUNTIF('Live Ladder'!P:P,L22)+COUNTIF('Live Ladder'!P:P,M22)+COUNTIF('Live Ladder'!P:P,N22)+COUNTIF('Live Ladder'!P:P,O22)+COUNTIF('Live Ladder'!P:P,P22))</f>
        <v>1</v>
      </c>
      <c r="U22" s="15">
        <f>IF(I22="","",IF(COUNTIF('Live Ladder'!P:P,Engine!Q22)=1,2,IF(COUNTIF('Live Ladder'!Q:Q,Engine!Q22)=1,-2,0)))</f>
        <v>0</v>
      </c>
      <c r="V22" s="15">
        <f>IF(I22="","",IF(T22=Data!S$3,2,0))</f>
        <v>0</v>
      </c>
      <c r="W22" s="15">
        <f t="shared" si="11"/>
        <v>1</v>
      </c>
      <c r="X22" s="15">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34</v>
      </c>
      <c r="Y22">
        <f t="shared" si="17"/>
        <v>48</v>
      </c>
      <c r="Z22">
        <f t="shared" si="12"/>
        <v>1516</v>
      </c>
      <c r="AA22" s="161">
        <f t="shared" si="13"/>
        <v>48.015160074000001</v>
      </c>
      <c r="AB22">
        <f t="shared" si="16"/>
        <v>1</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34</v>
      </c>
      <c r="AF22">
        <f>IF(I22="","",IF(Q22="",0,IF(AND(Q22&gt;0,COUNTIF('Stats Calculator'!$T$24:$AA$24,Q22)=1),HLOOKUP(Q22,'Stats Calculator'!$T$24:$AA$27,4,FALSE),IF(AND(Q22&gt;0,COUNTIF('Stats Calculator'!$T$25:$AA$25,Q22)=1),HLOOKUP(Q22,'Stats Calculator'!$T$25:$AA$27,3,FALSE)))))</f>
        <v>2</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0</v>
      </c>
      <c r="AI22">
        <f>IF(I22="","",Data!S$3-COUNTA('Stats Calculator'!E$31:E$38))</f>
        <v>7</v>
      </c>
      <c r="AJ22">
        <f>IF(I22="","",IF(AF22=0,0,IF(VLOOKUP(AF22,'Stats Calculator'!B$31:E$38,4,FALSE)&gt;0,0,2)))</f>
        <v>2</v>
      </c>
      <c r="AK22">
        <f>IF(I22="","",IF(Data!S$3-Engine!AI22=AG22,2,0))</f>
        <v>2</v>
      </c>
      <c r="AL22">
        <f t="shared" si="14"/>
        <v>12</v>
      </c>
    </row>
    <row r="23" spans="1:38" x14ac:dyDescent="0.3">
      <c r="A23">
        <v>22</v>
      </c>
      <c r="B23">
        <f t="shared" si="0"/>
        <v>22</v>
      </c>
      <c r="C23" s="161">
        <f t="shared" si="8"/>
        <v>50.014690073000004</v>
      </c>
      <c r="D23">
        <f t="shared" si="1"/>
        <v>20</v>
      </c>
      <c r="E23" s="4" t="str">
        <f t="shared" si="9"/>
        <v>p</v>
      </c>
      <c r="F23">
        <f t="shared" si="10"/>
        <v>2</v>
      </c>
      <c r="G23">
        <v>73</v>
      </c>
      <c r="H23" t="str">
        <f>Data!A23</f>
        <v>DragonDazz</v>
      </c>
      <c r="I23" s="2" t="str">
        <f>Data!C23</f>
        <v>Rabbitohs</v>
      </c>
      <c r="J23" s="2" t="str">
        <f>Data!D23</f>
        <v>Storm</v>
      </c>
      <c r="K23" s="2" t="str">
        <f>Data!E23</f>
        <v>Titans</v>
      </c>
      <c r="L23" s="2" t="str">
        <f>IF(Data!$S$3&lt;Engine!L$1,0,Data!F23)</f>
        <v>Panthers</v>
      </c>
      <c r="M23" s="2" t="str">
        <f>IF(Data!$S$3&lt;Engine!M$1,0,Data!G23)</f>
        <v>Eels</v>
      </c>
      <c r="N23" s="2" t="str">
        <f>IF(Data!$S$3&lt;Engine!N$1,0,Data!H23)</f>
        <v>Roosters</v>
      </c>
      <c r="O23" s="2" t="str">
        <f>IF(Data!$S$3&lt;Engine!O$1,0,Data!I23)</f>
        <v>Warriors</v>
      </c>
      <c r="P23" s="2" t="str">
        <f>IF(Data!$S$3&lt;Engine!P$1,0,Data!J23)</f>
        <v>Dragons</v>
      </c>
      <c r="Q23" s="17" t="str">
        <f>IF(Data!B23=1,Data!K23,"No Tips")</f>
        <v>Storm</v>
      </c>
      <c r="R23" s="2">
        <f>Data!L23</f>
        <v>50</v>
      </c>
      <c r="S23" s="2">
        <f>Data!M23</f>
        <v>1469</v>
      </c>
      <c r="T23" s="15">
        <f>IF(I23="","",COUNTIF('Live Ladder'!P:P,I23)+COUNTIF('Live Ladder'!P:P,J23)+COUNTIF('Live Ladder'!P:P,K23)+COUNTIF('Live Ladder'!P:P,L23)+COUNTIF('Live Ladder'!P:P,M23)+COUNTIF('Live Ladder'!P:P,N23)+COUNTIF('Live Ladder'!P:P,O23)+COUNTIF('Live Ladder'!P:P,P23))</f>
        <v>1</v>
      </c>
      <c r="U23" s="15">
        <f>IF(I23="","",IF(COUNTIF('Live Ladder'!P:P,Engine!Q23)=1,2,IF(COUNTIF('Live Ladder'!Q:Q,Engine!Q23)=1,-2,0)))</f>
        <v>0</v>
      </c>
      <c r="V23" s="15">
        <f>IF(I23="","",IF(T23=Data!S$3,2,0))</f>
        <v>0</v>
      </c>
      <c r="W23" s="15">
        <f t="shared" si="11"/>
        <v>1</v>
      </c>
      <c r="X23" s="15">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34</v>
      </c>
      <c r="Y23">
        <f t="shared" si="17"/>
        <v>51</v>
      </c>
      <c r="Z23">
        <f t="shared" si="12"/>
        <v>1503</v>
      </c>
      <c r="AA23" s="161">
        <f t="shared" si="13"/>
        <v>51.015030073000005</v>
      </c>
      <c r="AB23">
        <f t="shared" si="16"/>
        <v>1</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34</v>
      </c>
      <c r="AF23">
        <f>IF(I23="","",IF(Q23="",0,IF(AND(Q23&gt;0,COUNTIF('Stats Calculator'!$T$24:$AA$24,Q23)=1),HLOOKUP(Q23,'Stats Calculator'!$T$24:$AA$27,4,FALSE),IF(AND(Q23&gt;0,COUNTIF('Stats Calculator'!$T$25:$AA$25,Q23)=1),HLOOKUP(Q23,'Stats Calculator'!$T$25:$AA$27,3,FALSE)))))</f>
        <v>2</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2</v>
      </c>
      <c r="AL23">
        <f t="shared" si="14"/>
        <v>12</v>
      </c>
    </row>
    <row r="24" spans="1:38" x14ac:dyDescent="0.3">
      <c r="A24">
        <v>23</v>
      </c>
      <c r="B24">
        <f t="shared" si="0"/>
        <v>67</v>
      </c>
      <c r="C24" s="161">
        <f t="shared" si="8"/>
        <v>38.014600072</v>
      </c>
      <c r="D24">
        <f t="shared" si="1"/>
        <v>67</v>
      </c>
      <c r="E24" s="4" t="str">
        <f t="shared" si="9"/>
        <v>u</v>
      </c>
      <c r="F24" t="str">
        <f t="shared" si="10"/>
        <v/>
      </c>
      <c r="G24">
        <v>72</v>
      </c>
      <c r="H24" t="str">
        <f>Data!A24</f>
        <v>Fouad Khochaiche</v>
      </c>
      <c r="I24" s="2" t="str">
        <f>Data!C24</f>
        <v>Rabbitohs</v>
      </c>
      <c r="J24" s="2" t="str">
        <f>Data!D24</f>
        <v>Storm</v>
      </c>
      <c r="K24" s="2" t="str">
        <f>Data!E24</f>
        <v>Titans</v>
      </c>
      <c r="L24" s="2" t="str">
        <f>IF(Data!$S$3&lt;Engine!L$1,0,Data!F24)</f>
        <v>Panthers</v>
      </c>
      <c r="M24" s="2" t="str">
        <f>IF(Data!$S$3&lt;Engine!M$1,0,Data!G24)</f>
        <v>Eels</v>
      </c>
      <c r="N24" s="2" t="str">
        <f>IF(Data!$S$3&lt;Engine!N$1,0,Data!H24)</f>
        <v>Roosters</v>
      </c>
      <c r="O24" s="2" t="str">
        <f>IF(Data!$S$3&lt;Engine!O$1,0,Data!I24)</f>
        <v>Cowboys</v>
      </c>
      <c r="P24" s="2" t="str">
        <f>IF(Data!$S$3&lt;Engine!P$1,0,Data!J24)</f>
        <v>Dragons</v>
      </c>
      <c r="Q24" s="17" t="str">
        <f>IF(Data!B24=1,Data!K24,"No Tips")</f>
        <v>Eels</v>
      </c>
      <c r="R24" s="2">
        <f>Data!L24</f>
        <v>38</v>
      </c>
      <c r="S24" s="2">
        <f>Data!M24</f>
        <v>1460</v>
      </c>
      <c r="T24" s="15">
        <f>IF(I24="","",COUNTIF('Live Ladder'!P:P,I24)+COUNTIF('Live Ladder'!P:P,J24)+COUNTIF('Live Ladder'!P:P,K24)+COUNTIF('Live Ladder'!P:P,L24)+COUNTIF('Live Ladder'!P:P,M24)+COUNTIF('Live Ladder'!P:P,N24)+COUNTIF('Live Ladder'!P:P,O24)+COUNTIF('Live Ladder'!P:P,P24))</f>
        <v>1</v>
      </c>
      <c r="U24" s="15">
        <f>IF(I24="","",IF(COUNTIF('Live Ladder'!P:P,Engine!Q24)=1,2,IF(COUNTIF('Live Ladder'!Q:Q,Engine!Q24)=1,-2,0)))</f>
        <v>0</v>
      </c>
      <c r="V24" s="15">
        <f>IF(I24="","",IF(T24=Data!S$3,2,0))</f>
        <v>0</v>
      </c>
      <c r="W24" s="15">
        <f t="shared" si="11"/>
        <v>1</v>
      </c>
      <c r="X24" s="15">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34</v>
      </c>
      <c r="Y24">
        <f t="shared" si="17"/>
        <v>39</v>
      </c>
      <c r="Z24">
        <f t="shared" si="12"/>
        <v>1494</v>
      </c>
      <c r="AA24" s="161">
        <f t="shared" si="13"/>
        <v>39.014940072000002</v>
      </c>
      <c r="AB24">
        <f t="shared" si="16"/>
        <v>1</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34</v>
      </c>
      <c r="AF24">
        <f>IF(I24="","",IF(Q24="",0,IF(AND(Q24&gt;0,COUNTIF('Stats Calculator'!$T$24:$AA$24,Q24)=1),HLOOKUP(Q24,'Stats Calculator'!$T$24:$AA$27,4,FALSE),IF(AND(Q24&gt;0,COUNTIF('Stats Calculator'!$T$25:$AA$25,Q24)=1),HLOOKUP(Q24,'Stats Calculator'!$T$25:$AA$27,3,FALSE)))))</f>
        <v>5</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2</v>
      </c>
      <c r="AL24">
        <f t="shared" si="14"/>
        <v>12</v>
      </c>
    </row>
    <row r="25" spans="1:38" x14ac:dyDescent="0.3">
      <c r="A25">
        <v>24</v>
      </c>
      <c r="B25">
        <f t="shared" si="0"/>
        <v>36</v>
      </c>
      <c r="C25" s="161">
        <f t="shared" si="8"/>
        <v>48.015020071000002</v>
      </c>
      <c r="D25">
        <f t="shared" si="1"/>
        <v>35</v>
      </c>
      <c r="E25" s="4" t="str">
        <f t="shared" si="9"/>
        <v>p</v>
      </c>
      <c r="F25">
        <f t="shared" si="10"/>
        <v>1</v>
      </c>
      <c r="G25">
        <v>71</v>
      </c>
      <c r="H25" t="str">
        <f>Data!A25</f>
        <v>gdadisho</v>
      </c>
      <c r="I25" s="2" t="str">
        <f>Data!C25</f>
        <v>Rabbitohs</v>
      </c>
      <c r="J25" s="2" t="str">
        <f>Data!D25</f>
        <v>Storm</v>
      </c>
      <c r="K25" s="2" t="str">
        <f>Data!E25</f>
        <v>Titans</v>
      </c>
      <c r="L25" s="2" t="str">
        <f>IF(Data!$S$3&lt;Engine!L$1,0,Data!F25)</f>
        <v>Panthers</v>
      </c>
      <c r="M25" s="2" t="str">
        <f>IF(Data!$S$3&lt;Engine!M$1,0,Data!G25)</f>
        <v>Eels</v>
      </c>
      <c r="N25" s="2" t="str">
        <f>IF(Data!$S$3&lt;Engine!N$1,0,Data!H25)</f>
        <v>Roosters</v>
      </c>
      <c r="O25" s="2" t="str">
        <f>IF(Data!$S$3&lt;Engine!O$1,0,Data!I25)</f>
        <v>Warriors</v>
      </c>
      <c r="P25" s="2" t="str">
        <f>IF(Data!$S$3&lt;Engine!P$1,0,Data!J25)</f>
        <v>Dragons</v>
      </c>
      <c r="Q25" s="17" t="str">
        <f>IF(Data!B25=1,Data!K25,"No Tips")</f>
        <v>Warriors</v>
      </c>
      <c r="R25" s="2">
        <f>Data!L25</f>
        <v>48</v>
      </c>
      <c r="S25" s="2">
        <f>Data!M25</f>
        <v>1502</v>
      </c>
      <c r="T25" s="15">
        <f>IF(I25="","",COUNTIF('Live Ladder'!P:P,I25)+COUNTIF('Live Ladder'!P:P,J25)+COUNTIF('Live Ladder'!P:P,K25)+COUNTIF('Live Ladder'!P:P,L25)+COUNTIF('Live Ladder'!P:P,M25)+COUNTIF('Live Ladder'!P:P,N25)+COUNTIF('Live Ladder'!P:P,O25)+COUNTIF('Live Ladder'!P:P,P25))</f>
        <v>1</v>
      </c>
      <c r="U25" s="15">
        <f>IF(I25="","",IF(COUNTIF('Live Ladder'!P:P,Engine!Q25)=1,2,IF(COUNTIF('Live Ladder'!Q:Q,Engine!Q25)=1,-2,0)))</f>
        <v>0</v>
      </c>
      <c r="V25" s="15">
        <f>IF(I25="","",IF(T25=Data!S$3,2,0))</f>
        <v>0</v>
      </c>
      <c r="W25" s="15">
        <f t="shared" si="11"/>
        <v>1</v>
      </c>
      <c r="X25" s="15">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34</v>
      </c>
      <c r="Y25">
        <f t="shared" si="17"/>
        <v>49</v>
      </c>
      <c r="Z25">
        <f t="shared" si="12"/>
        <v>1536</v>
      </c>
      <c r="AA25" s="161">
        <f t="shared" si="13"/>
        <v>49.015360071000003</v>
      </c>
      <c r="AB25">
        <f t="shared" si="1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34</v>
      </c>
      <c r="AF25">
        <f>IF(I25="","",IF(Q25="",0,IF(AND(Q25&gt;0,COUNTIF('Stats Calculator'!$T$24:$AA$24,Q25)=1),HLOOKUP(Q25,'Stats Calculator'!$T$24:$AA$27,4,FALSE),IF(AND(Q25&gt;0,COUNTIF('Stats Calculator'!$T$25:$AA$25,Q25)=1),HLOOKUP(Q25,'Stats Calculator'!$T$25:$AA$27,3,FALSE)))))</f>
        <v>7</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2</v>
      </c>
      <c r="AL25">
        <f t="shared" si="14"/>
        <v>12</v>
      </c>
    </row>
    <row r="26" spans="1:38" x14ac:dyDescent="0.3">
      <c r="A26">
        <v>25</v>
      </c>
      <c r="B26">
        <f t="shared" si="0"/>
        <v>53</v>
      </c>
      <c r="C26" s="161">
        <f t="shared" si="8"/>
        <v>46.014590069999997</v>
      </c>
      <c r="D26">
        <f t="shared" si="1"/>
        <v>54</v>
      </c>
      <c r="E26" s="4" t="str">
        <f t="shared" si="9"/>
        <v>q</v>
      </c>
      <c r="F26">
        <f t="shared" si="10"/>
        <v>1</v>
      </c>
      <c r="G26">
        <v>70</v>
      </c>
      <c r="H26" t="str">
        <f>Data!A26</f>
        <v>GeorgeTheDragon</v>
      </c>
      <c r="I26" s="2" t="str">
        <f>Data!C26</f>
        <v>Raiders</v>
      </c>
      <c r="J26" s="2" t="str">
        <f>Data!D26</f>
        <v>Storm</v>
      </c>
      <c r="K26" s="2" t="str">
        <f>Data!E26</f>
        <v>Titans</v>
      </c>
      <c r="L26" s="2" t="str">
        <f>IF(Data!$S$3&lt;Engine!L$1,0,Data!F26)</f>
        <v>Panthers</v>
      </c>
      <c r="M26" s="2" t="str">
        <f>IF(Data!$S$3&lt;Engine!M$1,0,Data!G26)</f>
        <v>Eels</v>
      </c>
      <c r="N26" s="2" t="str">
        <f>IF(Data!$S$3&lt;Engine!N$1,0,Data!H26)</f>
        <v>Knights</v>
      </c>
      <c r="O26" s="2" t="str">
        <f>IF(Data!$S$3&lt;Engine!O$1,0,Data!I26)</f>
        <v>Warriors</v>
      </c>
      <c r="P26" s="2" t="str">
        <f>IF(Data!$S$3&lt;Engine!P$1,0,Data!J26)</f>
        <v>Dragons</v>
      </c>
      <c r="Q26" s="17" t="str">
        <f>IF(Data!B26=1,Data!K26,"No Tips")</f>
        <v>Storm</v>
      </c>
      <c r="R26" s="2">
        <f>Data!L26</f>
        <v>46</v>
      </c>
      <c r="S26" s="2">
        <f>Data!M26</f>
        <v>1459</v>
      </c>
      <c r="T26" s="15">
        <f>IF(I26="","",COUNTIF('Live Ladder'!P:P,I26)+COUNTIF('Live Ladder'!P:P,J26)+COUNTIF('Live Ladder'!P:P,K26)+COUNTIF('Live Ladder'!P:P,L26)+COUNTIF('Live Ladder'!P:P,M26)+COUNTIF('Live Ladder'!P:P,N26)+COUNTIF('Live Ladder'!P:P,O26)+COUNTIF('Live Ladder'!P:P,P26))</f>
        <v>0</v>
      </c>
      <c r="U26" s="15">
        <f>IF(I26="","",IF(COUNTIF('Live Ladder'!P:P,Engine!Q26)=1,2,IF(COUNTIF('Live Ladder'!Q:Q,Engine!Q26)=1,-2,0)))</f>
        <v>0</v>
      </c>
      <c r="V26" s="15">
        <f>IF(I26="","",IF(T26=Data!S$3,2,0))</f>
        <v>0</v>
      </c>
      <c r="W26" s="15">
        <f t="shared" si="11"/>
        <v>0</v>
      </c>
      <c r="X26" s="15">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20</v>
      </c>
      <c r="Y26">
        <f t="shared" si="17"/>
        <v>46</v>
      </c>
      <c r="Z26">
        <f t="shared" si="12"/>
        <v>1479</v>
      </c>
      <c r="AA26" s="161">
        <f t="shared" si="13"/>
        <v>46.014790069999997</v>
      </c>
      <c r="AB26">
        <f t="shared" si="16"/>
        <v>0</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20</v>
      </c>
      <c r="AF26">
        <f>IF(I26="","",IF(Q26="",0,IF(AND(Q26&gt;0,COUNTIF('Stats Calculator'!$T$24:$AA$24,Q26)=1),HLOOKUP(Q26,'Stats Calculator'!$T$24:$AA$27,4,FALSE),IF(AND(Q26&gt;0,COUNTIF('Stats Calculator'!$T$25:$AA$25,Q26)=1),HLOOKUP(Q26,'Stats Calculator'!$T$25:$AA$27,3,FALSE)))))</f>
        <v>2</v>
      </c>
      <c r="AG26">
        <f>IF(I26="","",COUNTIF(I26,'Stats Calculator'!E$31)+COUNTIF(J26,'Stats Calculator'!E$32)+COUNTIF(K26,'Stats Calculator'!E$33)+COUNTIF(L26,'Stats Calculator'!E$34)+COUNTIF(M26,'Stats Calculator'!E$35)+COUNTIF(N26,'Stats Calculator'!E$36)+COUNTIF(O26,'Stats Calculator'!E$37)+COUNTIF(P26,'Stats Calculator'!E$38)-8+Data!S$3)</f>
        <v>0</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0</v>
      </c>
      <c r="AL26">
        <f t="shared" si="14"/>
        <v>9</v>
      </c>
    </row>
    <row r="27" spans="1:38" x14ac:dyDescent="0.3">
      <c r="A27">
        <v>26</v>
      </c>
      <c r="B27">
        <f t="shared" si="0"/>
        <v>23</v>
      </c>
      <c r="C27" s="161">
        <f t="shared" si="8"/>
        <v>50.013780068999999</v>
      </c>
      <c r="D27">
        <f t="shared" si="1"/>
        <v>22</v>
      </c>
      <c r="E27" s="4" t="str">
        <f t="shared" si="9"/>
        <v>p</v>
      </c>
      <c r="F27">
        <f t="shared" si="10"/>
        <v>1</v>
      </c>
      <c r="G27">
        <v>69</v>
      </c>
      <c r="H27" t="str">
        <f>Data!A27</f>
        <v>Gerehu3B</v>
      </c>
      <c r="I27" s="2" t="str">
        <f>Data!C27</f>
        <v>Rabbitohs</v>
      </c>
      <c r="J27" s="2" t="str">
        <f>Data!D27</f>
        <v>Storm</v>
      </c>
      <c r="K27" s="2" t="str">
        <f>Data!E27</f>
        <v>Broncos</v>
      </c>
      <c r="L27" s="2" t="str">
        <f>IF(Data!$S$3&lt;Engine!L$1,0,Data!F27)</f>
        <v>Panthers</v>
      </c>
      <c r="M27" s="2" t="str">
        <f>IF(Data!$S$3&lt;Engine!M$1,0,Data!G27)</f>
        <v>Eels</v>
      </c>
      <c r="N27" s="2" t="str">
        <f>IF(Data!$S$3&lt;Engine!N$1,0,Data!H27)</f>
        <v>Roosters</v>
      </c>
      <c r="O27" s="2" t="str">
        <f>IF(Data!$S$3&lt;Engine!O$1,0,Data!I27)</f>
        <v>Warriors</v>
      </c>
      <c r="P27" s="2" t="str">
        <f>IF(Data!$S$3&lt;Engine!P$1,0,Data!J27)</f>
        <v>Dragons</v>
      </c>
      <c r="Q27" s="17" t="str">
        <f>IF(Data!B27=1,Data!K27,"No Tips")</f>
        <v>Storm</v>
      </c>
      <c r="R27" s="2">
        <f>Data!L27</f>
        <v>50</v>
      </c>
      <c r="S27" s="2">
        <f>Data!M27</f>
        <v>1378</v>
      </c>
      <c r="T27" s="15">
        <f>IF(I27="","",COUNTIF('Live Ladder'!P:P,I27)+COUNTIF('Live Ladder'!P:P,J27)+COUNTIF('Live Ladder'!P:P,K27)+COUNTIF('Live Ladder'!P:P,L27)+COUNTIF('Live Ladder'!P:P,M27)+COUNTIF('Live Ladder'!P:P,N27)+COUNTIF('Live Ladder'!P:P,O27)+COUNTIF('Live Ladder'!P:P,P27))</f>
        <v>1</v>
      </c>
      <c r="U27" s="15">
        <f>IF(I27="","",IF(COUNTIF('Live Ladder'!P:P,Engine!Q27)=1,2,IF(COUNTIF('Live Ladder'!Q:Q,Engine!Q27)=1,-2,0)))</f>
        <v>0</v>
      </c>
      <c r="V27" s="15">
        <f>IF(I27="","",IF(T27=Data!S$3,2,0))</f>
        <v>0</v>
      </c>
      <c r="W27" s="15">
        <f t="shared" si="11"/>
        <v>1</v>
      </c>
      <c r="X27" s="15">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34</v>
      </c>
      <c r="Y27">
        <f t="shared" si="17"/>
        <v>51</v>
      </c>
      <c r="Z27">
        <f t="shared" si="12"/>
        <v>1412</v>
      </c>
      <c r="AA27" s="161">
        <f t="shared" si="13"/>
        <v>51.014120069000001</v>
      </c>
      <c r="AB27">
        <f t="shared" si="1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34</v>
      </c>
      <c r="AF27">
        <f>IF(I27="","",IF(Q27="",0,IF(AND(Q27&gt;0,COUNTIF('Stats Calculator'!$T$24:$AA$24,Q27)=1),HLOOKUP(Q27,'Stats Calculator'!$T$24:$AA$27,4,FALSE),IF(AND(Q27&gt;0,COUNTIF('Stats Calculator'!$T$25:$AA$25,Q27)=1),HLOOKUP(Q27,'Stats Calculator'!$T$25:$AA$27,3,FALSE)))))</f>
        <v>2</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2</v>
      </c>
      <c r="AL27">
        <f t="shared" si="14"/>
        <v>12</v>
      </c>
    </row>
    <row r="28" spans="1:38" x14ac:dyDescent="0.3">
      <c r="A28">
        <v>27</v>
      </c>
      <c r="B28">
        <f t="shared" si="0"/>
        <v>47</v>
      </c>
      <c r="C28" s="161">
        <f t="shared" si="8"/>
        <v>46.014810066999999</v>
      </c>
      <c r="D28">
        <f t="shared" si="1"/>
        <v>47</v>
      </c>
      <c r="E28" s="4" t="str">
        <f t="shared" si="9"/>
        <v>u</v>
      </c>
      <c r="F28" t="str">
        <f t="shared" si="10"/>
        <v/>
      </c>
      <c r="G28">
        <v>67</v>
      </c>
      <c r="H28" t="str">
        <f>Data!A29</f>
        <v>Guru2810</v>
      </c>
      <c r="I28" s="2" t="str">
        <f>Data!C29</f>
        <v>Rabbitohs</v>
      </c>
      <c r="J28" s="2" t="str">
        <f>Data!D29</f>
        <v>Storm</v>
      </c>
      <c r="K28" s="2" t="str">
        <f>Data!E29</f>
        <v>Titans</v>
      </c>
      <c r="L28" s="2" t="str">
        <f>IF(Data!$S$3&lt;Engine!L$1,0,Data!F29)</f>
        <v>Panthers</v>
      </c>
      <c r="M28" s="2" t="str">
        <f>IF(Data!$S$3&lt;Engine!M$1,0,Data!G29)</f>
        <v>Eels</v>
      </c>
      <c r="N28" s="2" t="str">
        <f>IF(Data!$S$3&lt;Engine!N$1,0,Data!H29)</f>
        <v>Roosters</v>
      </c>
      <c r="O28" s="2" t="str">
        <f>IF(Data!$S$3&lt;Engine!O$1,0,Data!I29)</f>
        <v>Cowboys</v>
      </c>
      <c r="P28" s="2" t="str">
        <f>IF(Data!$S$3&lt;Engine!P$1,0,Data!J29)</f>
        <v>Dragons</v>
      </c>
      <c r="Q28" s="17" t="str">
        <f>IF(Data!B29=1,Data!K29,"No Tips")</f>
        <v>Eels</v>
      </c>
      <c r="R28" s="2">
        <f>Data!L29</f>
        <v>46</v>
      </c>
      <c r="S28" s="2">
        <f>Data!M29</f>
        <v>1481</v>
      </c>
      <c r="T28" s="15">
        <f>IF(I28="","",COUNTIF('Live Ladder'!P:P,I28)+COUNTIF('Live Ladder'!P:P,J28)+COUNTIF('Live Ladder'!P:P,K28)+COUNTIF('Live Ladder'!P:P,L28)+COUNTIF('Live Ladder'!P:P,M28)+COUNTIF('Live Ladder'!P:P,N28)+COUNTIF('Live Ladder'!P:P,O28)+COUNTIF('Live Ladder'!P:P,P28))</f>
        <v>1</v>
      </c>
      <c r="U28" s="15">
        <f>IF(I28="","",IF(COUNTIF('Live Ladder'!P:P,Engine!Q28)=1,2,IF(COUNTIF('Live Ladder'!Q:Q,Engine!Q28)=1,-2,0)))</f>
        <v>0</v>
      </c>
      <c r="V28" s="15">
        <f>IF(I28="","",IF(T28=Data!S$3,2,0))</f>
        <v>0</v>
      </c>
      <c r="W28" s="15">
        <f t="shared" si="11"/>
        <v>1</v>
      </c>
      <c r="X28" s="15">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34</v>
      </c>
      <c r="Y28">
        <f t="shared" si="17"/>
        <v>47</v>
      </c>
      <c r="Z28">
        <f t="shared" si="12"/>
        <v>1515</v>
      </c>
      <c r="AA28" s="161">
        <f t="shared" si="13"/>
        <v>47.015150067</v>
      </c>
      <c r="AB28">
        <f t="shared" si="1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34</v>
      </c>
      <c r="AF28">
        <f>IF(I28="","",IF(Q28="",0,IF(AND(Q28&gt;0,COUNTIF('Stats Calculator'!$T$24:$AA$24,Q28)=1),HLOOKUP(Q28,'Stats Calculator'!$T$24:$AA$27,4,FALSE),IF(AND(Q28&gt;0,COUNTIF('Stats Calculator'!$T$25:$AA$25,Q28)=1),HLOOKUP(Q28,'Stats Calculator'!$T$25:$AA$27,3,FALSE)))))</f>
        <v>5</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2</v>
      </c>
      <c r="AL28">
        <f t="shared" si="14"/>
        <v>12</v>
      </c>
    </row>
    <row r="29" spans="1:38" x14ac:dyDescent="0.3">
      <c r="A29">
        <v>28</v>
      </c>
      <c r="B29">
        <f t="shared" si="0"/>
        <v>38</v>
      </c>
      <c r="C29" s="161">
        <f t="shared" si="8"/>
        <v>48.014080065999998</v>
      </c>
      <c r="D29">
        <f t="shared" si="1"/>
        <v>45</v>
      </c>
      <c r="E29" s="4" t="str">
        <f t="shared" si="9"/>
        <v>q</v>
      </c>
      <c r="F29">
        <f t="shared" si="10"/>
        <v>7</v>
      </c>
      <c r="G29">
        <v>66</v>
      </c>
      <c r="H29" t="str">
        <f>Data!A30</f>
        <v>I miss Benji</v>
      </c>
      <c r="I29" s="2" t="str">
        <f>Data!C30</f>
        <v>Raiders</v>
      </c>
      <c r="J29" s="2" t="str">
        <f>Data!D30</f>
        <v>Storm</v>
      </c>
      <c r="K29" s="2" t="str">
        <f>Data!E30</f>
        <v>Titans</v>
      </c>
      <c r="L29" s="2" t="str">
        <f>IF(Data!$S$3&lt;Engine!L$1,0,Data!F30)</f>
        <v>Panthers</v>
      </c>
      <c r="M29" s="2" t="str">
        <f>IF(Data!$S$3&lt;Engine!M$1,0,Data!G30)</f>
        <v>Eels</v>
      </c>
      <c r="N29" s="2" t="str">
        <f>IF(Data!$S$3&lt;Engine!N$1,0,Data!H30)</f>
        <v>Roosters</v>
      </c>
      <c r="O29" s="2" t="str">
        <f>IF(Data!$S$3&lt;Engine!O$1,0,Data!I30)</f>
        <v>Cowboys</v>
      </c>
      <c r="P29" s="2" t="str">
        <f>IF(Data!$S$3&lt;Engine!P$1,0,Data!J30)</f>
        <v>Dragons</v>
      </c>
      <c r="Q29" s="17" t="str">
        <f>IF(Data!B30=1,Data!K30,"No Tips")</f>
        <v>Storm</v>
      </c>
      <c r="R29" s="2">
        <f>Data!L30</f>
        <v>48</v>
      </c>
      <c r="S29" s="2">
        <f>Data!M30</f>
        <v>1408</v>
      </c>
      <c r="T29" s="15">
        <f>IF(I29="","",COUNTIF('Live Ladder'!P:P,I29)+COUNTIF('Live Ladder'!P:P,J29)+COUNTIF('Live Ladder'!P:P,K29)+COUNTIF('Live Ladder'!P:P,L29)+COUNTIF('Live Ladder'!P:P,M29)+COUNTIF('Live Ladder'!P:P,N29)+COUNTIF('Live Ladder'!P:P,O29)+COUNTIF('Live Ladder'!P:P,P29))</f>
        <v>0</v>
      </c>
      <c r="U29" s="15">
        <f>IF(I29="","",IF(COUNTIF('Live Ladder'!P:P,Engine!Q29)=1,2,IF(COUNTIF('Live Ladder'!Q:Q,Engine!Q29)=1,-2,0)))</f>
        <v>0</v>
      </c>
      <c r="V29" s="15">
        <f>IF(I29="","",IF(T29=Data!S$3,2,0))</f>
        <v>0</v>
      </c>
      <c r="W29" s="15">
        <f t="shared" si="11"/>
        <v>0</v>
      </c>
      <c r="X29" s="15">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20</v>
      </c>
      <c r="Y29">
        <f t="shared" si="17"/>
        <v>48</v>
      </c>
      <c r="Z29">
        <f t="shared" si="12"/>
        <v>1428</v>
      </c>
      <c r="AA29" s="161">
        <f t="shared" si="13"/>
        <v>48.014280065999998</v>
      </c>
      <c r="AB29">
        <f t="shared" si="16"/>
        <v>0</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20</v>
      </c>
      <c r="AF29">
        <f>IF(I29="","",IF(Q29="",0,IF(AND(Q29&gt;0,COUNTIF('Stats Calculator'!$T$24:$AA$24,Q29)=1),HLOOKUP(Q29,'Stats Calculator'!$T$24:$AA$27,4,FALSE),IF(AND(Q29&gt;0,COUNTIF('Stats Calculator'!$T$25:$AA$25,Q29)=1),HLOOKUP(Q29,'Stats Calculator'!$T$25:$AA$27,3,FALSE)))))</f>
        <v>2</v>
      </c>
      <c r="AG29">
        <f>IF(I29="","",COUNTIF(I29,'Stats Calculator'!E$31)+COUNTIF(J29,'Stats Calculator'!E$32)+COUNTIF(K29,'Stats Calculator'!E$33)+COUNTIF(L29,'Stats Calculator'!E$34)+COUNTIF(M29,'Stats Calculator'!E$35)+COUNTIF(N29,'Stats Calculator'!E$36)+COUNTIF(O29,'Stats Calculator'!E$37)+COUNTIF(P29,'Stats Calculator'!E$38)-8+Data!S$3)</f>
        <v>0</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0</v>
      </c>
      <c r="AL29">
        <f t="shared" si="14"/>
        <v>9</v>
      </c>
    </row>
    <row r="30" spans="1:38" x14ac:dyDescent="0.3">
      <c r="A30">
        <v>29</v>
      </c>
      <c r="B30">
        <f t="shared" si="0"/>
        <v>9</v>
      </c>
      <c r="C30" s="161">
        <f t="shared" si="8"/>
        <v>53.014990064999999</v>
      </c>
      <c r="D30">
        <f t="shared" si="1"/>
        <v>9</v>
      </c>
      <c r="E30" s="4" t="str">
        <f t="shared" si="9"/>
        <v>u</v>
      </c>
      <c r="F30" t="str">
        <f t="shared" si="10"/>
        <v/>
      </c>
      <c r="G30">
        <v>65</v>
      </c>
      <c r="H30" t="str">
        <f>Data!A31</f>
        <v>Ian from Dublin</v>
      </c>
      <c r="I30" s="2" t="str">
        <f>Data!C31</f>
        <v>Rabbitohs</v>
      </c>
      <c r="J30" s="2" t="str">
        <f>Data!D31</f>
        <v>Storm</v>
      </c>
      <c r="K30" s="2" t="str">
        <f>Data!E31</f>
        <v>Titans</v>
      </c>
      <c r="L30" s="2" t="str">
        <f>IF(Data!$S$3&lt;Engine!L$1,0,Data!F31)</f>
        <v>Panthers</v>
      </c>
      <c r="M30" s="2" t="str">
        <f>IF(Data!$S$3&lt;Engine!M$1,0,Data!G31)</f>
        <v>Eels</v>
      </c>
      <c r="N30" s="2" t="str">
        <f>IF(Data!$S$3&lt;Engine!N$1,0,Data!H31)</f>
        <v>Roosters</v>
      </c>
      <c r="O30" s="2" t="str">
        <f>IF(Data!$S$3&lt;Engine!O$1,0,Data!I31)</f>
        <v>Cowboys</v>
      </c>
      <c r="P30" s="2" t="str">
        <f>IF(Data!$S$3&lt;Engine!P$1,0,Data!J31)</f>
        <v>Dragons</v>
      </c>
      <c r="Q30" s="17" t="str">
        <f>IF(Data!B31=1,Data!K31,"No Tips")</f>
        <v>Eels</v>
      </c>
      <c r="R30" s="2">
        <f>Data!L31</f>
        <v>53</v>
      </c>
      <c r="S30" s="2">
        <f>Data!M31</f>
        <v>1499</v>
      </c>
      <c r="T30" s="15">
        <f>IF(I30="","",COUNTIF('Live Ladder'!P:P,I30)+COUNTIF('Live Ladder'!P:P,J30)+COUNTIF('Live Ladder'!P:P,K30)+COUNTIF('Live Ladder'!P:P,L30)+COUNTIF('Live Ladder'!P:P,M30)+COUNTIF('Live Ladder'!P:P,N30)+COUNTIF('Live Ladder'!P:P,O30)+COUNTIF('Live Ladder'!P:P,P30))</f>
        <v>1</v>
      </c>
      <c r="U30" s="15">
        <f>IF(I30="","",IF(COUNTIF('Live Ladder'!P:P,Engine!Q30)=1,2,IF(COUNTIF('Live Ladder'!Q:Q,Engine!Q30)=1,-2,0)))</f>
        <v>0</v>
      </c>
      <c r="V30" s="15">
        <f>IF(I30="","",IF(T30=Data!S$3,2,0))</f>
        <v>0</v>
      </c>
      <c r="W30" s="15">
        <f t="shared" si="11"/>
        <v>1</v>
      </c>
      <c r="X30" s="15">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34</v>
      </c>
      <c r="Y30">
        <f t="shared" si="17"/>
        <v>54</v>
      </c>
      <c r="Z30">
        <f t="shared" si="12"/>
        <v>1533</v>
      </c>
      <c r="AA30" s="161">
        <f t="shared" si="13"/>
        <v>54.015330065000001</v>
      </c>
      <c r="AB30">
        <f t="shared" si="16"/>
        <v>1</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34</v>
      </c>
      <c r="AF30">
        <f>IF(I30="","",IF(Q30="",0,IF(AND(Q30&gt;0,COUNTIF('Stats Calculator'!$T$24:$AA$24,Q30)=1),HLOOKUP(Q30,'Stats Calculator'!$T$24:$AA$27,4,FALSE),IF(AND(Q30&gt;0,COUNTIF('Stats Calculator'!$T$25:$AA$25,Q30)=1),HLOOKUP(Q30,'Stats Calculator'!$T$25:$AA$27,3,FALSE)))))</f>
        <v>5</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0</v>
      </c>
      <c r="AI30">
        <f>IF(I30="","",Data!S$3-COUNTA('Stats Calculator'!E$31:E$38))</f>
        <v>7</v>
      </c>
      <c r="AJ30">
        <f>IF(I30="","",IF(AF30=0,0,IF(VLOOKUP(AF30,'Stats Calculator'!B$31:E$38,4,FALSE)&gt;0,0,2)))</f>
        <v>2</v>
      </c>
      <c r="AK30">
        <f>IF(I30="","",IF(Data!S$3-Engine!AI30=AG30,2,0))</f>
        <v>2</v>
      </c>
      <c r="AL30">
        <f t="shared" si="14"/>
        <v>12</v>
      </c>
    </row>
    <row r="31" spans="1:38" s="16" customFormat="1" x14ac:dyDescent="0.3">
      <c r="A31">
        <v>30</v>
      </c>
      <c r="B31">
        <f t="shared" si="0"/>
        <v>56</v>
      </c>
      <c r="C31" s="161">
        <f t="shared" si="8"/>
        <v>44.014900063999995</v>
      </c>
      <c r="D31">
        <f t="shared" si="1"/>
        <v>56</v>
      </c>
      <c r="E31" s="4" t="str">
        <f t="shared" si="9"/>
        <v>u</v>
      </c>
      <c r="F31" t="str">
        <f t="shared" si="10"/>
        <v/>
      </c>
      <c r="G31">
        <v>64</v>
      </c>
      <c r="H31" t="str">
        <f>Data!A32</f>
        <v>ILuvGal</v>
      </c>
      <c r="I31" s="2" t="str">
        <f>Data!C32</f>
        <v>Rabbitohs</v>
      </c>
      <c r="J31" s="2" t="str">
        <f>Data!D32</f>
        <v>Storm</v>
      </c>
      <c r="K31" s="2" t="str">
        <f>Data!E32</f>
        <v>Titans</v>
      </c>
      <c r="L31" s="2" t="str">
        <f>IF(Data!$S$3&lt;Engine!L$1,0,Data!F32)</f>
        <v>Panthers</v>
      </c>
      <c r="M31" s="2" t="str">
        <f>IF(Data!$S$3&lt;Engine!M$1,0,Data!G32)</f>
        <v>Eels</v>
      </c>
      <c r="N31" s="2" t="str">
        <f>IF(Data!$S$3&lt;Engine!N$1,0,Data!H32)</f>
        <v>Roosters</v>
      </c>
      <c r="O31" s="2" t="str">
        <f>IF(Data!$S$3&lt;Engine!O$1,0,Data!I32)</f>
        <v>Warriors</v>
      </c>
      <c r="P31" s="2" t="str">
        <f>IF(Data!$S$3&lt;Engine!P$1,0,Data!J32)</f>
        <v>Dragons</v>
      </c>
      <c r="Q31" s="17" t="str">
        <f>IF(Data!B32=1,Data!K32,"No Tips")</f>
        <v>Eels</v>
      </c>
      <c r="R31" s="2">
        <f>Data!L32</f>
        <v>44</v>
      </c>
      <c r="S31" s="2">
        <f>Data!M32</f>
        <v>1490</v>
      </c>
      <c r="T31" s="15">
        <f>IF(I31="","",COUNTIF('Live Ladder'!P:P,I31)+COUNTIF('Live Ladder'!P:P,J31)+COUNTIF('Live Ladder'!P:P,K31)+COUNTIF('Live Ladder'!P:P,L31)+COUNTIF('Live Ladder'!P:P,M31)+COUNTIF('Live Ladder'!P:P,N31)+COUNTIF('Live Ladder'!P:P,O31)+COUNTIF('Live Ladder'!P:P,P31))</f>
        <v>1</v>
      </c>
      <c r="U31" s="15">
        <f>IF(I31="","",IF(COUNTIF('Live Ladder'!P:P,Engine!Q31)=1,2,IF(COUNTIF('Live Ladder'!Q:Q,Engine!Q31)=1,-2,0)))</f>
        <v>0</v>
      </c>
      <c r="V31" s="15">
        <f>IF(I31="","",IF(T31=Data!S$3,2,0))</f>
        <v>0</v>
      </c>
      <c r="W31" s="15">
        <f t="shared" si="11"/>
        <v>1</v>
      </c>
      <c r="X31" s="15">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34</v>
      </c>
      <c r="Y31">
        <f t="shared" si="17"/>
        <v>45</v>
      </c>
      <c r="Z31">
        <f t="shared" si="12"/>
        <v>1524</v>
      </c>
      <c r="AA31" s="161">
        <f t="shared" si="13"/>
        <v>45.015240063999997</v>
      </c>
      <c r="AB31">
        <f t="shared" si="1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34</v>
      </c>
      <c r="AD31"/>
      <c r="AE31"/>
      <c r="AF31">
        <f>IF(I31="","",IF(Q31="",0,IF(AND(Q31&gt;0,COUNTIF('Stats Calculator'!$T$24:$AA$24,Q31)=1),HLOOKUP(Q31,'Stats Calculator'!$T$24:$AA$27,4,FALSE),IF(AND(Q31&gt;0,COUNTIF('Stats Calculator'!$T$25:$AA$25,Q31)=1),HLOOKUP(Q31,'Stats Calculator'!$T$25:$AA$27,3,FALSE)))))</f>
        <v>5</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2</v>
      </c>
      <c r="AL31">
        <f t="shared" si="14"/>
        <v>12</v>
      </c>
    </row>
    <row r="32" spans="1:38" x14ac:dyDescent="0.3">
      <c r="A32">
        <v>31</v>
      </c>
      <c r="B32">
        <f t="shared" si="0"/>
        <v>72</v>
      </c>
      <c r="C32" s="161">
        <f t="shared" si="8"/>
        <v>32.011510063000003</v>
      </c>
      <c r="D32">
        <f t="shared" si="1"/>
        <v>69</v>
      </c>
      <c r="E32" s="4" t="str">
        <f t="shared" si="9"/>
        <v>p</v>
      </c>
      <c r="F32">
        <f t="shared" si="10"/>
        <v>3</v>
      </c>
      <c r="G32">
        <v>63</v>
      </c>
      <c r="H32" t="str">
        <f>Data!A33</f>
        <v>isha68</v>
      </c>
      <c r="I32" s="2" t="str">
        <f>Data!C33</f>
        <v>Rabbitohs</v>
      </c>
      <c r="J32" s="2" t="str">
        <f>Data!D33</f>
        <v>Storm</v>
      </c>
      <c r="K32" s="2" t="str">
        <f>Data!E33</f>
        <v>Broncos</v>
      </c>
      <c r="L32" s="2" t="str">
        <f>IF(Data!$S$3&lt;Engine!L$1,0,Data!F33)</f>
        <v>Panthers</v>
      </c>
      <c r="M32" s="2" t="str">
        <f>IF(Data!$S$3&lt;Engine!M$1,0,Data!G33)</f>
        <v>Eels</v>
      </c>
      <c r="N32" s="2" t="str">
        <f>IF(Data!$S$3&lt;Engine!N$1,0,Data!H33)</f>
        <v>Knights</v>
      </c>
      <c r="O32" s="2" t="str">
        <f>IF(Data!$S$3&lt;Engine!O$1,0,Data!I33)</f>
        <v>Cowboys</v>
      </c>
      <c r="P32" s="2" t="str">
        <f>IF(Data!$S$3&lt;Engine!P$1,0,Data!J33)</f>
        <v>Wests Tigers</v>
      </c>
      <c r="Q32" s="17" t="str">
        <f>IF(Data!B33=1,Data!K33,"No Tips")</f>
        <v>Rabbitohs</v>
      </c>
      <c r="R32" s="2">
        <f>Data!L33</f>
        <v>32</v>
      </c>
      <c r="S32" s="2">
        <f>Data!M33</f>
        <v>1151</v>
      </c>
      <c r="T32" s="15">
        <f>IF(I32="","",COUNTIF('Live Ladder'!P:P,I32)+COUNTIF('Live Ladder'!P:P,J32)+COUNTIF('Live Ladder'!P:P,K32)+COUNTIF('Live Ladder'!P:P,L32)+COUNTIF('Live Ladder'!P:P,M32)+COUNTIF('Live Ladder'!P:P,N32)+COUNTIF('Live Ladder'!P:P,O32)+COUNTIF('Live Ladder'!P:P,P32))</f>
        <v>1</v>
      </c>
      <c r="U32" s="15">
        <f>IF(I32="","",IF(COUNTIF('Live Ladder'!P:P,Engine!Q32)=1,2,IF(COUNTIF('Live Ladder'!Q:Q,Engine!Q32)=1,-2,0)))</f>
        <v>2</v>
      </c>
      <c r="V32" s="15">
        <f>IF(I32="","",IF(T32=Data!S$3,2,0))</f>
        <v>0</v>
      </c>
      <c r="W32" s="15">
        <f t="shared" si="11"/>
        <v>3</v>
      </c>
      <c r="X32" s="15">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34</v>
      </c>
      <c r="Y32">
        <f t="shared" si="17"/>
        <v>35</v>
      </c>
      <c r="Z32">
        <f t="shared" si="12"/>
        <v>1185</v>
      </c>
      <c r="AA32" s="161">
        <f t="shared" si="13"/>
        <v>35.011850063000004</v>
      </c>
      <c r="AB32">
        <f t="shared" si="16"/>
        <v>3</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34</v>
      </c>
      <c r="AF32">
        <f>IF(I32="","",IF(Q32="",0,IF(AND(Q32&gt;0,COUNTIF('Stats Calculator'!$T$24:$AA$24,Q32)=1),HLOOKUP(Q32,'Stats Calculator'!$T$24:$AA$27,4,FALSE),IF(AND(Q32&gt;0,COUNTIF('Stats Calculator'!$T$25:$AA$25,Q32)=1),HLOOKUP(Q32,'Stats Calculator'!$T$25:$AA$27,3,FALSE)))))</f>
        <v>1</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2</v>
      </c>
      <c r="AI32">
        <f>IF(I32="","",Data!S$3-COUNTA('Stats Calculator'!E$31:E$38))</f>
        <v>7</v>
      </c>
      <c r="AJ32">
        <f>IF(I32="","",IF(AF32=0,0,IF(VLOOKUP(AF32,'Stats Calculator'!B$31:E$38,4,FALSE)&gt;0,0,2)))</f>
        <v>0</v>
      </c>
      <c r="AK32">
        <f>IF(I32="","",IF(Data!S$3-Engine!AI32=AG32,2,0))</f>
        <v>2</v>
      </c>
      <c r="AL32">
        <f t="shared" si="14"/>
        <v>12</v>
      </c>
    </row>
    <row r="33" spans="1:38" x14ac:dyDescent="0.3">
      <c r="A33">
        <v>32</v>
      </c>
      <c r="B33">
        <f t="shared" si="0"/>
        <v>33</v>
      </c>
      <c r="C33" s="161">
        <f t="shared" si="8"/>
        <v>48.015050062</v>
      </c>
      <c r="D33">
        <f t="shared" si="1"/>
        <v>32</v>
      </c>
      <c r="E33" s="4" t="str">
        <f t="shared" si="9"/>
        <v>p</v>
      </c>
      <c r="F33">
        <f t="shared" si="10"/>
        <v>1</v>
      </c>
      <c r="G33">
        <v>62</v>
      </c>
      <c r="H33" t="str">
        <f>Data!A34</f>
        <v>iTerry</v>
      </c>
      <c r="I33" s="2" t="str">
        <f>Data!C34</f>
        <v>Rabbitohs</v>
      </c>
      <c r="J33" s="2" t="str">
        <f>Data!D34</f>
        <v>Storm</v>
      </c>
      <c r="K33" s="2" t="str">
        <f>Data!E34</f>
        <v>Titans</v>
      </c>
      <c r="L33" s="2" t="str">
        <f>IF(Data!$S$3&lt;Engine!L$1,0,Data!F34)</f>
        <v>Panthers</v>
      </c>
      <c r="M33" s="2" t="str">
        <f>IF(Data!$S$3&lt;Engine!M$1,0,Data!G34)</f>
        <v>Eels</v>
      </c>
      <c r="N33" s="2" t="str">
        <f>IF(Data!$S$3&lt;Engine!N$1,0,Data!H34)</f>
        <v>Roosters</v>
      </c>
      <c r="O33" s="2" t="str">
        <f>IF(Data!$S$3&lt;Engine!O$1,0,Data!I34)</f>
        <v>Warriors</v>
      </c>
      <c r="P33" s="2" t="str">
        <f>IF(Data!$S$3&lt;Engine!P$1,0,Data!J34)</f>
        <v>Dragons</v>
      </c>
      <c r="Q33" s="17" t="str">
        <f>IF(Data!B34=1,Data!K34,"No Tips")</f>
        <v>Storm</v>
      </c>
      <c r="R33" s="2">
        <f>Data!L34</f>
        <v>48</v>
      </c>
      <c r="S33" s="2">
        <f>Data!M34</f>
        <v>1505</v>
      </c>
      <c r="T33" s="15">
        <f>IF(I33="","",COUNTIF('Live Ladder'!P:P,I33)+COUNTIF('Live Ladder'!P:P,J33)+COUNTIF('Live Ladder'!P:P,K33)+COUNTIF('Live Ladder'!P:P,L33)+COUNTIF('Live Ladder'!P:P,M33)+COUNTIF('Live Ladder'!P:P,N33)+COUNTIF('Live Ladder'!P:P,O33)+COUNTIF('Live Ladder'!P:P,P33))</f>
        <v>1</v>
      </c>
      <c r="U33" s="15">
        <f>IF(I33="","",IF(COUNTIF('Live Ladder'!P:P,Engine!Q33)=1,2,IF(COUNTIF('Live Ladder'!Q:Q,Engine!Q33)=1,-2,0)))</f>
        <v>0</v>
      </c>
      <c r="V33" s="15">
        <f>IF(I33="","",IF(T33=Data!S$3,2,0))</f>
        <v>0</v>
      </c>
      <c r="W33" s="15">
        <f t="shared" si="11"/>
        <v>1</v>
      </c>
      <c r="X33" s="15">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34</v>
      </c>
      <c r="Y33">
        <f t="shared" si="17"/>
        <v>49</v>
      </c>
      <c r="Z33">
        <f t="shared" si="12"/>
        <v>1539</v>
      </c>
      <c r="AA33" s="161">
        <f t="shared" si="13"/>
        <v>49.015390061999994</v>
      </c>
      <c r="AB33">
        <f t="shared" si="1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34</v>
      </c>
      <c r="AF33">
        <f>IF(I33="","",IF(Q33="",0,IF(AND(Q33&gt;0,COUNTIF('Stats Calculator'!$T$24:$AA$24,Q33)=1),HLOOKUP(Q33,'Stats Calculator'!$T$24:$AA$27,4,FALSE),IF(AND(Q33&gt;0,COUNTIF('Stats Calculator'!$T$25:$AA$25,Q33)=1),HLOOKUP(Q33,'Stats Calculator'!$T$25:$AA$27,3,FALSE)))))</f>
        <v>2</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2</v>
      </c>
      <c r="AL33">
        <f t="shared" si="14"/>
        <v>12</v>
      </c>
    </row>
    <row r="34" spans="1:38" x14ac:dyDescent="0.3">
      <c r="A34">
        <v>33</v>
      </c>
      <c r="B34">
        <f t="shared" ref="B34:B65" si="18">IF(H34="ZZZZZZ Suspend","",RANK(C34,C:C))</f>
        <v>10</v>
      </c>
      <c r="C34" s="161">
        <f t="shared" si="8"/>
        <v>53.014900060999999</v>
      </c>
      <c r="D34">
        <f t="shared" ref="D34:D65" si="19">IF(H34="ZZZZZZ Suspend","",RANK(AA34,AA:AA))</f>
        <v>10</v>
      </c>
      <c r="E34" s="4" t="str">
        <f t="shared" si="9"/>
        <v>u</v>
      </c>
      <c r="F34" t="str">
        <f t="shared" si="10"/>
        <v/>
      </c>
      <c r="G34">
        <v>61</v>
      </c>
      <c r="H34" t="str">
        <f>Data!A35</f>
        <v>Kane G</v>
      </c>
      <c r="I34" s="2" t="str">
        <f>Data!C35</f>
        <v>Rabbitohs</v>
      </c>
      <c r="J34" s="2" t="str">
        <f>Data!D35</f>
        <v>Storm</v>
      </c>
      <c r="K34" s="2" t="str">
        <f>Data!E35</f>
        <v>Titans</v>
      </c>
      <c r="L34" s="2" t="str">
        <f>IF(Data!$S$3&lt;Engine!L$1,0,Data!F35)</f>
        <v>Panthers</v>
      </c>
      <c r="M34" s="2" t="str">
        <f>IF(Data!$S$3&lt;Engine!M$1,0,Data!G35)</f>
        <v>Eels</v>
      </c>
      <c r="N34" s="2" t="str">
        <f>IF(Data!$S$3&lt;Engine!N$1,0,Data!H35)</f>
        <v>Roosters</v>
      </c>
      <c r="O34" s="2" t="str">
        <f>IF(Data!$S$3&lt;Engine!O$1,0,Data!I35)</f>
        <v>Warriors</v>
      </c>
      <c r="P34" s="2" t="str">
        <f>IF(Data!$S$3&lt;Engine!P$1,0,Data!J35)</f>
        <v>Dragons</v>
      </c>
      <c r="Q34" s="17" t="str">
        <f>IF(Data!B35=1,Data!K35,"No Tips")</f>
        <v>Eels</v>
      </c>
      <c r="R34" s="2">
        <f>Data!L35</f>
        <v>53</v>
      </c>
      <c r="S34" s="2">
        <f>Data!M35</f>
        <v>1490</v>
      </c>
      <c r="T34" s="15">
        <f>IF(I34="","",COUNTIF('Live Ladder'!P:P,I34)+COUNTIF('Live Ladder'!P:P,J34)+COUNTIF('Live Ladder'!P:P,K34)+COUNTIF('Live Ladder'!P:P,L34)+COUNTIF('Live Ladder'!P:P,M34)+COUNTIF('Live Ladder'!P:P,N34)+COUNTIF('Live Ladder'!P:P,O34)+COUNTIF('Live Ladder'!P:P,P34))</f>
        <v>1</v>
      </c>
      <c r="U34" s="15">
        <f>IF(I34="","",IF(COUNTIF('Live Ladder'!P:P,Engine!Q34)=1,2,IF(COUNTIF('Live Ladder'!Q:Q,Engine!Q34)=1,-2,0)))</f>
        <v>0</v>
      </c>
      <c r="V34" s="15">
        <f>IF(I34="","",IF(T34=Data!S$3,2,0))</f>
        <v>0</v>
      </c>
      <c r="W34" s="15">
        <f t="shared" si="11"/>
        <v>1</v>
      </c>
      <c r="X34" s="15">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34</v>
      </c>
      <c r="Y34">
        <f t="shared" si="17"/>
        <v>54</v>
      </c>
      <c r="Z34">
        <f t="shared" si="12"/>
        <v>1524</v>
      </c>
      <c r="AA34" s="161">
        <f t="shared" si="13"/>
        <v>54.015240061</v>
      </c>
      <c r="AB34">
        <f t="shared" si="16"/>
        <v>1</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34</v>
      </c>
      <c r="AF34">
        <f>IF(I34="","",IF(Q34="",0,IF(AND(Q34&gt;0,COUNTIF('Stats Calculator'!$T$24:$AA$24,Q34)=1),HLOOKUP(Q34,'Stats Calculator'!$T$24:$AA$27,4,FALSE),IF(AND(Q34&gt;0,COUNTIF('Stats Calculator'!$T$25:$AA$25,Q34)=1),HLOOKUP(Q34,'Stats Calculator'!$T$25:$AA$27,3,FALSE)))))</f>
        <v>5</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2</v>
      </c>
      <c r="AL34">
        <f t="shared" si="14"/>
        <v>12</v>
      </c>
    </row>
    <row r="35" spans="1:38" x14ac:dyDescent="0.3">
      <c r="A35">
        <v>34</v>
      </c>
      <c r="B35">
        <f t="shared" si="18"/>
        <v>15</v>
      </c>
      <c r="C35" s="161">
        <f t="shared" si="8"/>
        <v>51.014500059999996</v>
      </c>
      <c r="D35">
        <f t="shared" si="19"/>
        <v>14</v>
      </c>
      <c r="E35" s="4" t="str">
        <f t="shared" si="9"/>
        <v>p</v>
      </c>
      <c r="F35">
        <f t="shared" si="10"/>
        <v>1</v>
      </c>
      <c r="G35">
        <v>60</v>
      </c>
      <c r="H35" t="str">
        <f>Data!A36</f>
        <v>Kauboi</v>
      </c>
      <c r="I35" s="2" t="str">
        <f>Data!C36</f>
        <v>Rabbitohs</v>
      </c>
      <c r="J35" s="2" t="str">
        <f>Data!D36</f>
        <v>Storm</v>
      </c>
      <c r="K35" s="2" t="str">
        <f>Data!E36</f>
        <v>Titans</v>
      </c>
      <c r="L35" s="2" t="str">
        <f>IF(Data!$S$3&lt;Engine!L$1,0,Data!F36)</f>
        <v>Panthers</v>
      </c>
      <c r="M35" s="2" t="str">
        <f>IF(Data!$S$3&lt;Engine!M$1,0,Data!G36)</f>
        <v>Eels</v>
      </c>
      <c r="N35" s="2" t="str">
        <f>IF(Data!$S$3&lt;Engine!N$1,0,Data!H36)</f>
        <v>Roosters</v>
      </c>
      <c r="O35" s="2" t="str">
        <f>IF(Data!$S$3&lt;Engine!O$1,0,Data!I36)</f>
        <v>Warriors</v>
      </c>
      <c r="P35" s="2" t="str">
        <f>IF(Data!$S$3&lt;Engine!P$1,0,Data!J36)</f>
        <v>Dragons</v>
      </c>
      <c r="Q35" s="17" t="str">
        <f>IF(Data!B36=1,Data!K36,"No Tips")</f>
        <v>Storm</v>
      </c>
      <c r="R35" s="2">
        <f>Data!L36</f>
        <v>51</v>
      </c>
      <c r="S35" s="2">
        <f>Data!M36</f>
        <v>1450</v>
      </c>
      <c r="T35" s="15">
        <f>IF(I35="","",COUNTIF('Live Ladder'!P:P,I35)+COUNTIF('Live Ladder'!P:P,J35)+COUNTIF('Live Ladder'!P:P,K35)+COUNTIF('Live Ladder'!P:P,L35)+COUNTIF('Live Ladder'!P:P,M35)+COUNTIF('Live Ladder'!P:P,N35)+COUNTIF('Live Ladder'!P:P,O35)+COUNTIF('Live Ladder'!P:P,P35))</f>
        <v>1</v>
      </c>
      <c r="U35" s="15">
        <f>IF(I35="","",IF(COUNTIF('Live Ladder'!P:P,Engine!Q35)=1,2,IF(COUNTIF('Live Ladder'!Q:Q,Engine!Q35)=1,-2,0)))</f>
        <v>0</v>
      </c>
      <c r="V35" s="15">
        <f>IF(I35="","",IF(T35=Data!S$3,2,0))</f>
        <v>0</v>
      </c>
      <c r="W35" s="15">
        <f t="shared" si="11"/>
        <v>1</v>
      </c>
      <c r="X35" s="15">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34</v>
      </c>
      <c r="Y35">
        <f t="shared" si="17"/>
        <v>52</v>
      </c>
      <c r="Z35">
        <f t="shared" si="12"/>
        <v>1484</v>
      </c>
      <c r="AA35" s="161">
        <f t="shared" si="13"/>
        <v>52.014840059999997</v>
      </c>
      <c r="AB35">
        <f t="shared" si="1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34</v>
      </c>
      <c r="AF35">
        <f>IF(I35="","",IF(Q35="",0,IF(AND(Q35&gt;0,COUNTIF('Stats Calculator'!$T$24:$AA$24,Q35)=1),HLOOKUP(Q35,'Stats Calculator'!$T$24:$AA$27,4,FALSE),IF(AND(Q35&gt;0,COUNTIF('Stats Calculator'!$T$25:$AA$25,Q35)=1),HLOOKUP(Q35,'Stats Calculator'!$T$25:$AA$27,3,FALSE)))))</f>
        <v>2</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2</v>
      </c>
      <c r="AL35">
        <f t="shared" si="14"/>
        <v>12</v>
      </c>
    </row>
    <row r="36" spans="1:38" x14ac:dyDescent="0.3">
      <c r="A36">
        <v>35</v>
      </c>
      <c r="B36">
        <f t="shared" si="18"/>
        <v>14</v>
      </c>
      <c r="C36" s="161">
        <f t="shared" si="8"/>
        <v>51.014840059000001</v>
      </c>
      <c r="D36">
        <f t="shared" si="19"/>
        <v>13</v>
      </c>
      <c r="E36" s="4" t="str">
        <f t="shared" si="9"/>
        <v>p</v>
      </c>
      <c r="F36">
        <f t="shared" si="10"/>
        <v>1</v>
      </c>
      <c r="G36">
        <v>59</v>
      </c>
      <c r="H36" t="str">
        <f>Data!A37</f>
        <v>Krusty</v>
      </c>
      <c r="I36" s="2" t="str">
        <f>Data!C37</f>
        <v>Rabbitohs</v>
      </c>
      <c r="J36" s="2" t="str">
        <f>Data!D37</f>
        <v>Storm</v>
      </c>
      <c r="K36" s="2" t="str">
        <f>Data!E37</f>
        <v>Titans</v>
      </c>
      <c r="L36" s="2" t="str">
        <f>IF(Data!$S$3&lt;Engine!L$1,0,Data!F37)</f>
        <v>Panthers</v>
      </c>
      <c r="M36" s="2" t="str">
        <f>IF(Data!$S$3&lt;Engine!M$1,0,Data!G37)</f>
        <v>Eels</v>
      </c>
      <c r="N36" s="2" t="str">
        <f>IF(Data!$S$3&lt;Engine!N$1,0,Data!H37)</f>
        <v>Knights</v>
      </c>
      <c r="O36" s="2" t="str">
        <f>IF(Data!$S$3&lt;Engine!O$1,0,Data!I37)</f>
        <v>Warriors</v>
      </c>
      <c r="P36" s="2" t="str">
        <f>IF(Data!$S$3&lt;Engine!P$1,0,Data!J37)</f>
        <v>Dragons</v>
      </c>
      <c r="Q36" s="17" t="str">
        <f>IF(Data!B37=1,Data!K37,"No Tips")</f>
        <v>Panthers</v>
      </c>
      <c r="R36" s="2">
        <f>Data!L37</f>
        <v>51</v>
      </c>
      <c r="S36" s="2">
        <f>Data!M37</f>
        <v>1484</v>
      </c>
      <c r="T36" s="15">
        <f>IF(I36="","",COUNTIF('Live Ladder'!P:P,I36)+COUNTIF('Live Ladder'!P:P,J36)+COUNTIF('Live Ladder'!P:P,K36)+COUNTIF('Live Ladder'!P:P,L36)+COUNTIF('Live Ladder'!P:P,M36)+COUNTIF('Live Ladder'!P:P,N36)+COUNTIF('Live Ladder'!P:P,O36)+COUNTIF('Live Ladder'!P:P,P36))</f>
        <v>1</v>
      </c>
      <c r="U36" s="15">
        <f>IF(I36="","",IF(COUNTIF('Live Ladder'!P:P,Engine!Q36)=1,2,IF(COUNTIF('Live Ladder'!Q:Q,Engine!Q36)=1,-2,0)))</f>
        <v>0</v>
      </c>
      <c r="V36" s="15">
        <f>IF(I36="","",IF(T36=Data!S$3,2,0))</f>
        <v>0</v>
      </c>
      <c r="W36" s="15">
        <f t="shared" si="11"/>
        <v>1</v>
      </c>
      <c r="X36" s="15">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34</v>
      </c>
      <c r="Y36">
        <f t="shared" si="17"/>
        <v>52</v>
      </c>
      <c r="Z36">
        <f t="shared" si="12"/>
        <v>1518</v>
      </c>
      <c r="AA36" s="161">
        <f t="shared" si="13"/>
        <v>52.015180059000002</v>
      </c>
      <c r="AB36">
        <f t="shared" si="1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34</v>
      </c>
      <c r="AF36">
        <f>IF(I36="","",IF(Q36="",0,IF(AND(Q36&gt;0,COUNTIF('Stats Calculator'!$T$24:$AA$24,Q36)=1),HLOOKUP(Q36,'Stats Calculator'!$T$24:$AA$27,4,FALSE),IF(AND(Q36&gt;0,COUNTIF('Stats Calculator'!$T$25:$AA$25,Q36)=1),HLOOKUP(Q36,'Stats Calculator'!$T$25:$AA$27,3,FALSE)))))</f>
        <v>4</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2</v>
      </c>
      <c r="AL36">
        <f t="shared" si="14"/>
        <v>12</v>
      </c>
    </row>
    <row r="37" spans="1:38" x14ac:dyDescent="0.3">
      <c r="A37">
        <v>36</v>
      </c>
      <c r="B37">
        <f t="shared" si="18"/>
        <v>42</v>
      </c>
      <c r="C37" s="161">
        <f t="shared" si="8"/>
        <v>47.014560058000001</v>
      </c>
      <c r="D37">
        <f t="shared" si="19"/>
        <v>40</v>
      </c>
      <c r="E37" s="4" t="str">
        <f t="shared" si="9"/>
        <v>p</v>
      </c>
      <c r="F37">
        <f t="shared" si="10"/>
        <v>2</v>
      </c>
      <c r="G37">
        <v>58</v>
      </c>
      <c r="H37" t="str">
        <f>Data!A38</f>
        <v>Lou</v>
      </c>
      <c r="I37" s="2" t="str">
        <f>Data!C38</f>
        <v>Rabbitohs</v>
      </c>
      <c r="J37" s="2" t="str">
        <f>Data!D38</f>
        <v>Storm</v>
      </c>
      <c r="K37" s="2" t="str">
        <f>Data!E38</f>
        <v>Titans</v>
      </c>
      <c r="L37" s="2" t="str">
        <f>IF(Data!$S$3&lt;Engine!L$1,0,Data!F38)</f>
        <v>Panthers</v>
      </c>
      <c r="M37" s="2" t="str">
        <f>IF(Data!$S$3&lt;Engine!M$1,0,Data!G38)</f>
        <v>Eels</v>
      </c>
      <c r="N37" s="2" t="str">
        <f>IF(Data!$S$3&lt;Engine!N$1,0,Data!H38)</f>
        <v>Roosters</v>
      </c>
      <c r="O37" s="2" t="str">
        <f>IF(Data!$S$3&lt;Engine!O$1,0,Data!I38)</f>
        <v>Warriors</v>
      </c>
      <c r="P37" s="2" t="str">
        <f>IF(Data!$S$3&lt;Engine!P$1,0,Data!J38)</f>
        <v>Dragons</v>
      </c>
      <c r="Q37" s="17" t="str">
        <f>IF(Data!B38=1,Data!K38,"No Tips")</f>
        <v>Storm</v>
      </c>
      <c r="R37" s="2">
        <f>Data!L38</f>
        <v>47</v>
      </c>
      <c r="S37" s="2">
        <f>Data!M38</f>
        <v>1456</v>
      </c>
      <c r="T37" s="15">
        <f>IF(I37="","",COUNTIF('Live Ladder'!P:P,I37)+COUNTIF('Live Ladder'!P:P,J37)+COUNTIF('Live Ladder'!P:P,K37)+COUNTIF('Live Ladder'!P:P,L37)+COUNTIF('Live Ladder'!P:P,M37)+COUNTIF('Live Ladder'!P:P,N37)+COUNTIF('Live Ladder'!P:P,O37)+COUNTIF('Live Ladder'!P:P,P37))</f>
        <v>1</v>
      </c>
      <c r="U37" s="15">
        <f>IF(I37="","",IF(COUNTIF('Live Ladder'!P:P,Engine!Q37)=1,2,IF(COUNTIF('Live Ladder'!Q:Q,Engine!Q37)=1,-2,0)))</f>
        <v>0</v>
      </c>
      <c r="V37" s="15">
        <f>IF(I37="","",IF(T37=Data!S$3,2,0))</f>
        <v>0</v>
      </c>
      <c r="W37" s="15">
        <f t="shared" si="11"/>
        <v>1</v>
      </c>
      <c r="X37" s="15">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34</v>
      </c>
      <c r="Y37">
        <f t="shared" si="17"/>
        <v>48</v>
      </c>
      <c r="Z37">
        <f t="shared" si="12"/>
        <v>1490</v>
      </c>
      <c r="AA37" s="161">
        <f t="shared" si="13"/>
        <v>48.014900057999995</v>
      </c>
      <c r="AB37">
        <f t="shared" si="1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34</v>
      </c>
      <c r="AF37">
        <f>IF(I37="","",IF(Q37="",0,IF(AND(Q37&gt;0,COUNTIF('Stats Calculator'!$T$24:$AA$24,Q37)=1),HLOOKUP(Q37,'Stats Calculator'!$T$24:$AA$27,4,FALSE),IF(AND(Q37&gt;0,COUNTIF('Stats Calculator'!$T$25:$AA$25,Q37)=1),HLOOKUP(Q37,'Stats Calculator'!$T$25:$AA$27,3,FALSE)))))</f>
        <v>2</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2</v>
      </c>
      <c r="AL37">
        <f t="shared" si="14"/>
        <v>12</v>
      </c>
    </row>
    <row r="38" spans="1:38" x14ac:dyDescent="0.3">
      <c r="A38">
        <v>37</v>
      </c>
      <c r="B38">
        <f t="shared" si="18"/>
        <v>63</v>
      </c>
      <c r="C38" s="161">
        <f t="shared" si="8"/>
        <v>42.012780057000001</v>
      </c>
      <c r="D38">
        <f t="shared" si="19"/>
        <v>63</v>
      </c>
      <c r="E38" s="4" t="str">
        <f t="shared" si="9"/>
        <v>u</v>
      </c>
      <c r="F38" t="str">
        <f t="shared" si="10"/>
        <v/>
      </c>
      <c r="G38">
        <v>57</v>
      </c>
      <c r="H38" t="str">
        <f>Data!A39</f>
        <v>MadFoxEyes</v>
      </c>
      <c r="I38" s="2" t="str">
        <f>Data!C39</f>
        <v/>
      </c>
      <c r="J38" s="2" t="str">
        <f>Data!D39</f>
        <v/>
      </c>
      <c r="K38" s="2" t="str">
        <f>Data!E39</f>
        <v/>
      </c>
      <c r="L38" s="2" t="str">
        <f>IF(Data!$S$3&lt;Engine!L$1,0,Data!F39)</f>
        <v/>
      </c>
      <c r="M38" s="2" t="str">
        <f>IF(Data!$S$3&lt;Engine!M$1,0,Data!G39)</f>
        <v/>
      </c>
      <c r="N38" s="2" t="str">
        <f>IF(Data!$S$3&lt;Engine!N$1,0,Data!H39)</f>
        <v/>
      </c>
      <c r="O38" s="2" t="str">
        <f>IF(Data!$S$3&lt;Engine!O$1,0,Data!I39)</f>
        <v/>
      </c>
      <c r="P38" s="2" t="str">
        <f>IF(Data!$S$3&lt;Engine!P$1,0,Data!J39)</f>
        <v/>
      </c>
      <c r="Q38" s="17" t="str">
        <f>IF(Data!B39=1,Data!K39,"No Tips")</f>
        <v>No Tips</v>
      </c>
      <c r="R38" s="2">
        <f>Data!L39</f>
        <v>42</v>
      </c>
      <c r="S38" s="2">
        <f>Data!M39</f>
        <v>1278</v>
      </c>
      <c r="T38" s="15" t="str">
        <f>IF(I38="","",COUNTIF('Live Ladder'!P:P,I38)+COUNTIF('Live Ladder'!P:P,J38)+COUNTIF('Live Ladder'!P:P,K38)+COUNTIF('Live Ladder'!P:P,L38)+COUNTIF('Live Ladder'!P:P,M38)+COUNTIF('Live Ladder'!P:P,N38)+COUNTIF('Live Ladder'!P:P,O38)+COUNTIF('Live Ladder'!P:P,P38))</f>
        <v/>
      </c>
      <c r="U38" s="15" t="str">
        <f>IF(I38="","",IF(COUNTIF('Live Ladder'!P:P,Engine!Q38)=1,2,IF(COUNTIF('Live Ladder'!Q:Q,Engine!Q38)=1,-2,0)))</f>
        <v/>
      </c>
      <c r="V38" s="15" t="str">
        <f>IF(I38="","",IF(T38=Data!S$3,2,0))</f>
        <v/>
      </c>
      <c r="W38" s="15">
        <f t="shared" si="11"/>
        <v>0</v>
      </c>
      <c r="X38" s="15">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20</v>
      </c>
      <c r="Y38">
        <f t="shared" si="17"/>
        <v>42</v>
      </c>
      <c r="Z38">
        <f t="shared" si="12"/>
        <v>1298</v>
      </c>
      <c r="AA38" s="161">
        <f t="shared" si="13"/>
        <v>42.012980057</v>
      </c>
      <c r="AB38">
        <f t="shared" si="16"/>
        <v>0</v>
      </c>
      <c r="AC38" t="str">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
      </c>
      <c r="AF38" t="str">
        <f>IF(I38="","",IF(Q38="",0,IF(AND(Q38&gt;0,COUNTIF('Stats Calculator'!$T$24:$AA$24,Q38)=1),HLOOKUP(Q38,'Stats Calculator'!$T$24:$AA$27,4,FALSE),IF(AND(Q38&gt;0,COUNTIF('Stats Calculator'!$T$25:$AA$25,Q38)=1),HLOOKUP(Q38,'Stats Calculator'!$T$25:$AA$27,3,FALSE)))))</f>
        <v/>
      </c>
      <c r="AG38" t="str">
        <f>IF(I38="","",COUNTIF(I38,'Stats Calculator'!E$31)+COUNTIF(J38,'Stats Calculator'!E$32)+COUNTIF(K38,'Stats Calculator'!E$33)+COUNTIF(L38,'Stats Calculator'!E$34)+COUNTIF(M38,'Stats Calculator'!E$35)+COUNTIF(N38,'Stats Calculator'!E$36)+COUNTIF(O38,'Stats Calculator'!E$37)+COUNTIF(P38,'Stats Calculator'!E$38)-8+Data!S$3)</f>
        <v/>
      </c>
      <c r="AH38" t="str">
        <f>IF(I38="","",IF(Q38="",0,IF(Q38=0,0,IF(VLOOKUP(Engine!AF38,'Stats Calculator'!B$31:E$38,4,FALSE)="",0,IF(VLOOKUP(Engine!AF38,'Stats Calculator'!B$31:E$38,4,FALSE)=Q38,2,-2)))))</f>
        <v/>
      </c>
      <c r="AI38" t="str">
        <f>IF(I38="","",Data!S$3-COUNTA('Stats Calculator'!E$31:E$38))</f>
        <v/>
      </c>
      <c r="AJ38" t="str">
        <f>IF(I38="","",IF(AF38=0,0,IF(VLOOKUP(AF38,'Stats Calculator'!B$31:E$38,4,FALSE)&gt;0,0,2)))</f>
        <v/>
      </c>
      <c r="AK38" t="str">
        <f>IF(I38="","",IF(Data!S$3-Engine!AI38=AG38,2,0))</f>
        <v/>
      </c>
      <c r="AL38" t="str">
        <f t="shared" si="14"/>
        <v/>
      </c>
    </row>
    <row r="39" spans="1:38" x14ac:dyDescent="0.3">
      <c r="A39">
        <v>38</v>
      </c>
      <c r="B39">
        <f t="shared" si="18"/>
        <v>13</v>
      </c>
      <c r="C39" s="161">
        <f t="shared" si="8"/>
        <v>51.015290055999998</v>
      </c>
      <c r="D39">
        <f t="shared" si="19"/>
        <v>18</v>
      </c>
      <c r="E39" s="4" t="str">
        <f t="shared" si="9"/>
        <v>q</v>
      </c>
      <c r="F39">
        <f t="shared" si="10"/>
        <v>5</v>
      </c>
      <c r="G39">
        <v>56</v>
      </c>
      <c r="H39" t="str">
        <f>Data!A40</f>
        <v>Magnum</v>
      </c>
      <c r="I39" s="2" t="str">
        <f>Data!C40</f>
        <v>Raiders</v>
      </c>
      <c r="J39" s="2" t="str">
        <f>Data!D40</f>
        <v>Storm</v>
      </c>
      <c r="K39" s="2" t="str">
        <f>Data!E40</f>
        <v>Titans</v>
      </c>
      <c r="L39" s="2" t="str">
        <f>IF(Data!$S$3&lt;Engine!L$1,0,Data!F40)</f>
        <v>Panthers</v>
      </c>
      <c r="M39" s="2" t="str">
        <f>IF(Data!$S$3&lt;Engine!M$1,0,Data!G40)</f>
        <v>Eels</v>
      </c>
      <c r="N39" s="2" t="str">
        <f>IF(Data!$S$3&lt;Engine!N$1,0,Data!H40)</f>
        <v>Roosters</v>
      </c>
      <c r="O39" s="2" t="str">
        <f>IF(Data!$S$3&lt;Engine!O$1,0,Data!I40)</f>
        <v>Warriors</v>
      </c>
      <c r="P39" s="2" t="str">
        <f>IF(Data!$S$3&lt;Engine!P$1,0,Data!J40)</f>
        <v>Dragons</v>
      </c>
      <c r="Q39" s="17" t="str">
        <f>IF(Data!B40=1,Data!K40,"No Tips")</f>
        <v>Storm</v>
      </c>
      <c r="R39" s="2">
        <f>Data!L40</f>
        <v>51</v>
      </c>
      <c r="S39" s="2">
        <f>Data!M40</f>
        <v>1529</v>
      </c>
      <c r="T39" s="15">
        <f>IF(I39="","",COUNTIF('Live Ladder'!P:P,I39)+COUNTIF('Live Ladder'!P:P,J39)+COUNTIF('Live Ladder'!P:P,K39)+COUNTIF('Live Ladder'!P:P,L39)+COUNTIF('Live Ladder'!P:P,M39)+COUNTIF('Live Ladder'!P:P,N39)+COUNTIF('Live Ladder'!P:P,O39)+COUNTIF('Live Ladder'!P:P,P39))</f>
        <v>0</v>
      </c>
      <c r="U39" s="15">
        <f>IF(I39="","",IF(COUNTIF('Live Ladder'!P:P,Engine!Q39)=1,2,IF(COUNTIF('Live Ladder'!Q:Q,Engine!Q39)=1,-2,0)))</f>
        <v>0</v>
      </c>
      <c r="V39" s="15">
        <f>IF(I39="","",IF(T39=Data!S$3,2,0))</f>
        <v>0</v>
      </c>
      <c r="W39" s="15">
        <f t="shared" si="11"/>
        <v>0</v>
      </c>
      <c r="X39" s="15">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20</v>
      </c>
      <c r="Y39">
        <f t="shared" si="17"/>
        <v>51</v>
      </c>
      <c r="Z39">
        <f t="shared" si="12"/>
        <v>1549</v>
      </c>
      <c r="AA39" s="161">
        <f t="shared" si="13"/>
        <v>51.015490055999997</v>
      </c>
      <c r="AB39">
        <f t="shared" si="16"/>
        <v>0</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20</v>
      </c>
      <c r="AF39">
        <f>IF(I39="","",IF(Q39="",0,IF(AND(Q39&gt;0,COUNTIF('Stats Calculator'!$T$24:$AA$24,Q39)=1),HLOOKUP(Q39,'Stats Calculator'!$T$24:$AA$27,4,FALSE),IF(AND(Q39&gt;0,COUNTIF('Stats Calculator'!$T$25:$AA$25,Q39)=1),HLOOKUP(Q39,'Stats Calculator'!$T$25:$AA$27,3,FALSE)))))</f>
        <v>2</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0</v>
      </c>
      <c r="AL39">
        <f t="shared" si="14"/>
        <v>9</v>
      </c>
    </row>
    <row r="40" spans="1:38" x14ac:dyDescent="0.3">
      <c r="A40">
        <v>39</v>
      </c>
      <c r="B40">
        <f t="shared" si="18"/>
        <v>46</v>
      </c>
      <c r="C40" s="161">
        <f t="shared" si="8"/>
        <v>47.014170055000001</v>
      </c>
      <c r="D40">
        <f t="shared" si="19"/>
        <v>44</v>
      </c>
      <c r="E40" s="4" t="str">
        <f t="shared" si="9"/>
        <v>p</v>
      </c>
      <c r="F40">
        <f t="shared" si="10"/>
        <v>2</v>
      </c>
      <c r="G40">
        <v>55</v>
      </c>
      <c r="H40" t="str">
        <f>Data!A41</f>
        <v>MB</v>
      </c>
      <c r="I40" s="2" t="str">
        <f>Data!C41</f>
        <v>Rabbitohs</v>
      </c>
      <c r="J40" s="2" t="str">
        <f>Data!D41</f>
        <v>Storm</v>
      </c>
      <c r="K40" s="2" t="str">
        <f>Data!E41</f>
        <v>Titans</v>
      </c>
      <c r="L40" s="2" t="str">
        <f>IF(Data!$S$3&lt;Engine!L$1,0,Data!F41)</f>
        <v>Panthers</v>
      </c>
      <c r="M40" s="2" t="str">
        <f>IF(Data!$S$3&lt;Engine!M$1,0,Data!G41)</f>
        <v>Eels</v>
      </c>
      <c r="N40" s="2" t="str">
        <f>IF(Data!$S$3&lt;Engine!N$1,0,Data!H41)</f>
        <v>Roosters</v>
      </c>
      <c r="O40" s="2" t="str">
        <f>IF(Data!$S$3&lt;Engine!O$1,0,Data!I41)</f>
        <v>Warriors</v>
      </c>
      <c r="P40" s="2" t="str">
        <f>IF(Data!$S$3&lt;Engine!P$1,0,Data!J41)</f>
        <v>Dragons</v>
      </c>
      <c r="Q40" s="17" t="str">
        <f>IF(Data!B41=1,Data!K41,"No Tips")</f>
        <v>Eels</v>
      </c>
      <c r="R40" s="2">
        <f>Data!L41</f>
        <v>47</v>
      </c>
      <c r="S40" s="2">
        <f>Data!M41</f>
        <v>1417</v>
      </c>
      <c r="T40" s="15">
        <f>IF(I40="","",COUNTIF('Live Ladder'!P:P,I40)+COUNTIF('Live Ladder'!P:P,J40)+COUNTIF('Live Ladder'!P:P,K40)+COUNTIF('Live Ladder'!P:P,L40)+COUNTIF('Live Ladder'!P:P,M40)+COUNTIF('Live Ladder'!P:P,N40)+COUNTIF('Live Ladder'!P:P,O40)+COUNTIF('Live Ladder'!P:P,P40))</f>
        <v>1</v>
      </c>
      <c r="U40" s="15">
        <f>IF(I40="","",IF(COUNTIF('Live Ladder'!P:P,Engine!Q40)=1,2,IF(COUNTIF('Live Ladder'!Q:Q,Engine!Q40)=1,-2,0)))</f>
        <v>0</v>
      </c>
      <c r="V40" s="15">
        <f>IF(I40="","",IF(T40=Data!S$3,2,0))</f>
        <v>0</v>
      </c>
      <c r="W40" s="15">
        <f t="shared" si="11"/>
        <v>1</v>
      </c>
      <c r="X40" s="15">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34</v>
      </c>
      <c r="Y40">
        <f t="shared" si="17"/>
        <v>48</v>
      </c>
      <c r="Z40">
        <f t="shared" si="12"/>
        <v>1451</v>
      </c>
      <c r="AA40" s="161">
        <f t="shared" si="13"/>
        <v>48.014510055000002</v>
      </c>
      <c r="AB40">
        <f t="shared" si="16"/>
        <v>1</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34</v>
      </c>
      <c r="AF40">
        <f>IF(I40="","",IF(Q40="",0,IF(AND(Q40&gt;0,COUNTIF('Stats Calculator'!$T$24:$AA$24,Q40)=1),HLOOKUP(Q40,'Stats Calculator'!$T$24:$AA$27,4,FALSE),IF(AND(Q40&gt;0,COUNTIF('Stats Calculator'!$T$25:$AA$25,Q40)=1),HLOOKUP(Q40,'Stats Calculator'!$T$25:$AA$27,3,FALSE)))))</f>
        <v>5</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0</v>
      </c>
      <c r="AI40">
        <f>IF(I40="","",Data!S$3-COUNTA('Stats Calculator'!E$31:E$38))</f>
        <v>7</v>
      </c>
      <c r="AJ40">
        <f>IF(I40="","",IF(AF40=0,0,IF(VLOOKUP(AF40,'Stats Calculator'!B$31:E$38,4,FALSE)&gt;0,0,2)))</f>
        <v>2</v>
      </c>
      <c r="AK40">
        <f>IF(I40="","",IF(Data!S$3-Engine!AI40=AG40,2,0))</f>
        <v>2</v>
      </c>
      <c r="AL40">
        <f t="shared" si="14"/>
        <v>12</v>
      </c>
    </row>
    <row r="41" spans="1:38" x14ac:dyDescent="0.3">
      <c r="A41">
        <v>40</v>
      </c>
      <c r="B41">
        <f t="shared" si="18"/>
        <v>12</v>
      </c>
      <c r="C41" s="161">
        <f t="shared" si="8"/>
        <v>52.014940054</v>
      </c>
      <c r="D41">
        <f t="shared" si="19"/>
        <v>12</v>
      </c>
      <c r="E41" s="4" t="str">
        <f t="shared" si="9"/>
        <v>u</v>
      </c>
      <c r="F41" t="str">
        <f t="shared" si="10"/>
        <v/>
      </c>
      <c r="G41">
        <v>54</v>
      </c>
      <c r="H41" t="str">
        <f>Data!A42</f>
        <v>Micrider</v>
      </c>
      <c r="I41" s="2" t="str">
        <f>Data!C42</f>
        <v>Rabbitohs</v>
      </c>
      <c r="J41" s="2" t="str">
        <f>Data!D42</f>
        <v>Storm</v>
      </c>
      <c r="K41" s="2" t="str">
        <f>Data!E42</f>
        <v>Titans</v>
      </c>
      <c r="L41" s="2" t="str">
        <f>IF(Data!$S$3&lt;Engine!L$1,0,Data!F42)</f>
        <v>Panthers</v>
      </c>
      <c r="M41" s="2" t="str">
        <f>IF(Data!$S$3&lt;Engine!M$1,0,Data!G42)</f>
        <v>Eels</v>
      </c>
      <c r="N41" s="2" t="str">
        <f>IF(Data!$S$3&lt;Engine!N$1,0,Data!H42)</f>
        <v>Roosters</v>
      </c>
      <c r="O41" s="2" t="str">
        <f>IF(Data!$S$3&lt;Engine!O$1,0,Data!I42)</f>
        <v>Cowboys</v>
      </c>
      <c r="P41" s="2" t="str">
        <f>IF(Data!$S$3&lt;Engine!P$1,0,Data!J42)</f>
        <v>Dragons</v>
      </c>
      <c r="Q41" s="17" t="str">
        <f>IF(Data!B42=1,Data!K42,"No Tips")</f>
        <v>Storm</v>
      </c>
      <c r="R41" s="2">
        <f>Data!L42</f>
        <v>52</v>
      </c>
      <c r="S41" s="2">
        <f>Data!M42</f>
        <v>1494</v>
      </c>
      <c r="T41" s="15">
        <f>IF(I41="","",COUNTIF('Live Ladder'!P:P,I41)+COUNTIF('Live Ladder'!P:P,J41)+COUNTIF('Live Ladder'!P:P,K41)+COUNTIF('Live Ladder'!P:P,L41)+COUNTIF('Live Ladder'!P:P,M41)+COUNTIF('Live Ladder'!P:P,N41)+COUNTIF('Live Ladder'!P:P,O41)+COUNTIF('Live Ladder'!P:P,P41))</f>
        <v>1</v>
      </c>
      <c r="U41" s="15">
        <f>IF(I41="","",IF(COUNTIF('Live Ladder'!P:P,Engine!Q41)=1,2,IF(COUNTIF('Live Ladder'!Q:Q,Engine!Q41)=1,-2,0)))</f>
        <v>0</v>
      </c>
      <c r="V41" s="15">
        <f>IF(I41="","",IF(T41=Data!S$3,2,0))</f>
        <v>0</v>
      </c>
      <c r="W41" s="15">
        <f t="shared" si="11"/>
        <v>1</v>
      </c>
      <c r="X41" s="15">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34</v>
      </c>
      <c r="Y41">
        <f t="shared" si="17"/>
        <v>53</v>
      </c>
      <c r="Z41">
        <f t="shared" si="12"/>
        <v>1528</v>
      </c>
      <c r="AA41" s="161">
        <f t="shared" si="13"/>
        <v>53.015280053999994</v>
      </c>
      <c r="AB41">
        <f t="shared" si="16"/>
        <v>1</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34</v>
      </c>
      <c r="AF41">
        <f>IF(I41="","",IF(Q41="",0,IF(AND(Q41&gt;0,COUNTIF('Stats Calculator'!$T$24:$AA$24,Q41)=1),HLOOKUP(Q41,'Stats Calculator'!$T$24:$AA$27,4,FALSE),IF(AND(Q41&gt;0,COUNTIF('Stats Calculator'!$T$25:$AA$25,Q41)=1),HLOOKUP(Q41,'Stats Calculator'!$T$25:$AA$27,3,FALSE)))))</f>
        <v>2</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2</v>
      </c>
      <c r="AL41">
        <f t="shared" si="14"/>
        <v>12</v>
      </c>
    </row>
    <row r="42" spans="1:38" x14ac:dyDescent="0.3">
      <c r="A42">
        <v>41</v>
      </c>
      <c r="B42">
        <f t="shared" si="18"/>
        <v>6</v>
      </c>
      <c r="C42" s="161">
        <f t="shared" si="8"/>
        <v>53.015380053000001</v>
      </c>
      <c r="D42">
        <f t="shared" si="19"/>
        <v>6</v>
      </c>
      <c r="E42" s="4" t="str">
        <f t="shared" si="9"/>
        <v>u</v>
      </c>
      <c r="F42" t="str">
        <f t="shared" si="10"/>
        <v/>
      </c>
      <c r="G42">
        <v>53</v>
      </c>
      <c r="H42" t="str">
        <f>Data!A43</f>
        <v>MJP181</v>
      </c>
      <c r="I42" s="2" t="str">
        <f>Data!C43</f>
        <v>Rabbitohs</v>
      </c>
      <c r="J42" s="2" t="str">
        <f>Data!D43</f>
        <v>Storm</v>
      </c>
      <c r="K42" s="2" t="str">
        <f>Data!E43</f>
        <v>Titans</v>
      </c>
      <c r="L42" s="2" t="str">
        <f>IF(Data!$S$3&lt;Engine!L$1,0,Data!F43)</f>
        <v>Panthers</v>
      </c>
      <c r="M42" s="2" t="str">
        <f>IF(Data!$S$3&lt;Engine!M$1,0,Data!G43)</f>
        <v>Eels</v>
      </c>
      <c r="N42" s="2" t="str">
        <f>IF(Data!$S$3&lt;Engine!N$1,0,Data!H43)</f>
        <v>Roosters</v>
      </c>
      <c r="O42" s="2" t="str">
        <f>IF(Data!$S$3&lt;Engine!O$1,0,Data!I43)</f>
        <v>Warriors</v>
      </c>
      <c r="P42" s="2" t="str">
        <f>IF(Data!$S$3&lt;Engine!P$1,0,Data!J43)</f>
        <v>Dragons</v>
      </c>
      <c r="Q42" s="17" t="str">
        <f>IF(Data!B43=1,Data!K43,"No Tips")</f>
        <v>Eels</v>
      </c>
      <c r="R42" s="2">
        <f>Data!L43</f>
        <v>53</v>
      </c>
      <c r="S42" s="2">
        <f>Data!M43</f>
        <v>1538</v>
      </c>
      <c r="T42" s="15">
        <f>IF(I42="","",COUNTIF('Live Ladder'!P:P,I42)+COUNTIF('Live Ladder'!P:P,J42)+COUNTIF('Live Ladder'!P:P,K42)+COUNTIF('Live Ladder'!P:P,L42)+COUNTIF('Live Ladder'!P:P,M42)+COUNTIF('Live Ladder'!P:P,N42)+COUNTIF('Live Ladder'!P:P,O42)+COUNTIF('Live Ladder'!P:P,P42))</f>
        <v>1</v>
      </c>
      <c r="U42" s="15">
        <f>IF(I42="","",IF(COUNTIF('Live Ladder'!P:P,Engine!Q42)=1,2,IF(COUNTIF('Live Ladder'!Q:Q,Engine!Q42)=1,-2,0)))</f>
        <v>0</v>
      </c>
      <c r="V42" s="15">
        <f>IF(I42="","",IF(T42=Data!S$3,2,0))</f>
        <v>0</v>
      </c>
      <c r="W42" s="15">
        <f t="shared" si="11"/>
        <v>1</v>
      </c>
      <c r="X42" s="15">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34</v>
      </c>
      <c r="Y42">
        <f t="shared" si="17"/>
        <v>54</v>
      </c>
      <c r="Z42">
        <f t="shared" si="12"/>
        <v>1572</v>
      </c>
      <c r="AA42" s="161">
        <f t="shared" si="13"/>
        <v>54.015720053000003</v>
      </c>
      <c r="AB42">
        <f t="shared" si="1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34</v>
      </c>
      <c r="AF42">
        <f>IF(I42="","",IF(Q42="",0,IF(AND(Q42&gt;0,COUNTIF('Stats Calculator'!$T$24:$AA$24,Q42)=1),HLOOKUP(Q42,'Stats Calculator'!$T$24:$AA$27,4,FALSE),IF(AND(Q42&gt;0,COUNTIF('Stats Calculator'!$T$25:$AA$25,Q42)=1),HLOOKUP(Q42,'Stats Calculator'!$T$25:$AA$27,3,FALSE)))))</f>
        <v>5</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
      <c r="A43">
        <v>42</v>
      </c>
      <c r="B43">
        <f t="shared" si="18"/>
        <v>70</v>
      </c>
      <c r="C43" s="161">
        <f t="shared" si="8"/>
        <v>34.012510051999996</v>
      </c>
      <c r="D43">
        <f t="shared" si="19"/>
        <v>71</v>
      </c>
      <c r="E43" s="4" t="str">
        <f t="shared" si="9"/>
        <v>q</v>
      </c>
      <c r="F43">
        <f t="shared" si="10"/>
        <v>1</v>
      </c>
      <c r="G43">
        <v>52</v>
      </c>
      <c r="H43" t="str">
        <f>Data!A44</f>
        <v>MLC</v>
      </c>
      <c r="I43" s="2" t="str">
        <f>Data!C44</f>
        <v>Raiders</v>
      </c>
      <c r="J43" s="2" t="str">
        <f>Data!D44</f>
        <v>Storm</v>
      </c>
      <c r="K43" s="2" t="str">
        <f>Data!E44</f>
        <v>Broncos</v>
      </c>
      <c r="L43" s="2" t="str">
        <f>IF(Data!$S$3&lt;Engine!L$1,0,Data!F44)</f>
        <v>Panthers</v>
      </c>
      <c r="M43" s="2" t="str">
        <f>IF(Data!$S$3&lt;Engine!M$1,0,Data!G44)</f>
        <v>Eels</v>
      </c>
      <c r="N43" s="2" t="str">
        <f>IF(Data!$S$3&lt;Engine!N$1,0,Data!H44)</f>
        <v>Knights</v>
      </c>
      <c r="O43" s="2" t="str">
        <f>IF(Data!$S$3&lt;Engine!O$1,0,Data!I44)</f>
        <v>Cowboys</v>
      </c>
      <c r="P43" s="2" t="str">
        <f>IF(Data!$S$3&lt;Engine!P$1,0,Data!J44)</f>
        <v>Dragons</v>
      </c>
      <c r="Q43" s="17" t="str">
        <f>IF(Data!B44=1,Data!K44,"No Tips")</f>
        <v>Storm</v>
      </c>
      <c r="R43" s="2">
        <f>Data!L44</f>
        <v>34</v>
      </c>
      <c r="S43" s="2">
        <f>Data!M44</f>
        <v>1251</v>
      </c>
      <c r="T43" s="15">
        <f>IF(I43="","",COUNTIF('Live Ladder'!P:P,I43)+COUNTIF('Live Ladder'!P:P,J43)+COUNTIF('Live Ladder'!P:P,K43)+COUNTIF('Live Ladder'!P:P,L43)+COUNTIF('Live Ladder'!P:P,M43)+COUNTIF('Live Ladder'!P:P,N43)+COUNTIF('Live Ladder'!P:P,O43)+COUNTIF('Live Ladder'!P:P,P43))</f>
        <v>0</v>
      </c>
      <c r="U43" s="15">
        <f>IF(I43="","",IF(COUNTIF('Live Ladder'!P:P,Engine!Q43)=1,2,IF(COUNTIF('Live Ladder'!Q:Q,Engine!Q43)=1,-2,0)))</f>
        <v>0</v>
      </c>
      <c r="V43" s="15">
        <f>IF(I43="","",IF(T43=Data!S$3,2,0))</f>
        <v>0</v>
      </c>
      <c r="W43" s="15">
        <f t="shared" si="11"/>
        <v>0</v>
      </c>
      <c r="X43" s="15">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20</v>
      </c>
      <c r="Y43">
        <f t="shared" si="17"/>
        <v>34</v>
      </c>
      <c r="Z43">
        <f t="shared" si="12"/>
        <v>1271</v>
      </c>
      <c r="AA43" s="161">
        <f t="shared" si="13"/>
        <v>34.012710051999996</v>
      </c>
      <c r="AB43">
        <f t="shared" si="16"/>
        <v>0</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20</v>
      </c>
      <c r="AF43">
        <f>IF(I43="","",IF(Q43="",0,IF(AND(Q43&gt;0,COUNTIF('Stats Calculator'!$T$24:$AA$24,Q43)=1),HLOOKUP(Q43,'Stats Calculator'!$T$24:$AA$27,4,FALSE),IF(AND(Q43&gt;0,COUNTIF('Stats Calculator'!$T$25:$AA$25,Q43)=1),HLOOKUP(Q43,'Stats Calculator'!$T$25:$AA$27,3,FALSE)))))</f>
        <v>2</v>
      </c>
      <c r="AG43">
        <f>IF(I43="","",COUNTIF(I43,'Stats Calculator'!E$31)+COUNTIF(J43,'Stats Calculator'!E$32)+COUNTIF(K43,'Stats Calculator'!E$33)+COUNTIF(L43,'Stats Calculator'!E$34)+COUNTIF(M43,'Stats Calculator'!E$35)+COUNTIF(N43,'Stats Calculator'!E$36)+COUNTIF(O43,'Stats Calculator'!E$37)+COUNTIF(P43,'Stats Calculator'!E$38)-8+Data!S$3)</f>
        <v>0</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0</v>
      </c>
      <c r="AL43">
        <f t="shared" si="14"/>
        <v>9</v>
      </c>
    </row>
    <row r="44" spans="1:38" x14ac:dyDescent="0.3">
      <c r="A44">
        <v>43</v>
      </c>
      <c r="B44">
        <f t="shared" si="18"/>
        <v>5</v>
      </c>
      <c r="C44" s="161">
        <f t="shared" si="8"/>
        <v>53.015720051000002</v>
      </c>
      <c r="D44">
        <f t="shared" si="19"/>
        <v>5</v>
      </c>
      <c r="E44" s="4" t="str">
        <f t="shared" si="9"/>
        <v>u</v>
      </c>
      <c r="F44" t="str">
        <f t="shared" si="10"/>
        <v/>
      </c>
      <c r="G44">
        <v>51</v>
      </c>
      <c r="H44" t="str">
        <f>Data!A45</f>
        <v>MR. TAYLOR</v>
      </c>
      <c r="I44" s="2" t="str">
        <f>Data!C45</f>
        <v>Rabbitohs</v>
      </c>
      <c r="J44" s="2" t="str">
        <f>Data!D45</f>
        <v>Storm</v>
      </c>
      <c r="K44" s="2" t="str">
        <f>Data!E45</f>
        <v>Titans</v>
      </c>
      <c r="L44" s="2" t="str">
        <f>IF(Data!$S$3&lt;Engine!L$1,0,Data!F45)</f>
        <v>Panthers</v>
      </c>
      <c r="M44" s="2" t="str">
        <f>IF(Data!$S$3&lt;Engine!M$1,0,Data!G45)</f>
        <v>Eels</v>
      </c>
      <c r="N44" s="2" t="str">
        <f>IF(Data!$S$3&lt;Engine!N$1,0,Data!H45)</f>
        <v>Roosters</v>
      </c>
      <c r="O44" s="2" t="str">
        <f>IF(Data!$S$3&lt;Engine!O$1,0,Data!I45)</f>
        <v>Cowboys</v>
      </c>
      <c r="P44" s="2" t="str">
        <f>IF(Data!$S$3&lt;Engine!P$1,0,Data!J45)</f>
        <v>Dragons</v>
      </c>
      <c r="Q44" s="17" t="str">
        <f>IF(Data!B45=1,Data!K45,"No Tips")</f>
        <v>Eels</v>
      </c>
      <c r="R44" s="2">
        <f>Data!L45</f>
        <v>53</v>
      </c>
      <c r="S44" s="2">
        <f>Data!M45</f>
        <v>1572</v>
      </c>
      <c r="T44" s="15">
        <f>IF(I44="","",COUNTIF('Live Ladder'!P:P,I44)+COUNTIF('Live Ladder'!P:P,J44)+COUNTIF('Live Ladder'!P:P,K44)+COUNTIF('Live Ladder'!P:P,L44)+COUNTIF('Live Ladder'!P:P,M44)+COUNTIF('Live Ladder'!P:P,N44)+COUNTIF('Live Ladder'!P:P,O44)+COUNTIF('Live Ladder'!P:P,P44))</f>
        <v>1</v>
      </c>
      <c r="U44" s="15">
        <f>IF(I44="","",IF(COUNTIF('Live Ladder'!P:P,Engine!Q44)=1,2,IF(COUNTIF('Live Ladder'!Q:Q,Engine!Q44)=1,-2,0)))</f>
        <v>0</v>
      </c>
      <c r="V44" s="15">
        <f>IF(I44="","",IF(T44=Data!S$3,2,0))</f>
        <v>0</v>
      </c>
      <c r="W44" s="15">
        <f t="shared" si="11"/>
        <v>1</v>
      </c>
      <c r="X44" s="15">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34</v>
      </c>
      <c r="Y44">
        <f t="shared" si="17"/>
        <v>54</v>
      </c>
      <c r="Z44">
        <f t="shared" si="12"/>
        <v>1606</v>
      </c>
      <c r="AA44" s="161">
        <f t="shared" si="13"/>
        <v>54.016060051000004</v>
      </c>
      <c r="AB44">
        <f t="shared" si="1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34</v>
      </c>
      <c r="AF44">
        <f>IF(I44="","",IF(Q44="",0,IF(AND(Q44&gt;0,COUNTIF('Stats Calculator'!$T$24:$AA$24,Q44)=1),HLOOKUP(Q44,'Stats Calculator'!$T$24:$AA$27,4,FALSE),IF(AND(Q44&gt;0,COUNTIF('Stats Calculator'!$T$25:$AA$25,Q44)=1),HLOOKUP(Q44,'Stats Calculator'!$T$25:$AA$27,3,FALSE)))))</f>
        <v>5</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
      <c r="A45">
        <v>44</v>
      </c>
      <c r="B45">
        <f t="shared" si="18"/>
        <v>75</v>
      </c>
      <c r="C45" s="161">
        <f t="shared" si="8"/>
        <v>13.010230050000001</v>
      </c>
      <c r="D45">
        <f t="shared" si="19"/>
        <v>75</v>
      </c>
      <c r="E45" s="4" t="str">
        <f t="shared" si="9"/>
        <v>u</v>
      </c>
      <c r="F45" t="str">
        <f t="shared" si="10"/>
        <v/>
      </c>
      <c r="G45">
        <v>50</v>
      </c>
      <c r="H45" t="str">
        <f>Data!A46</f>
        <v>Mrs Cooper</v>
      </c>
      <c r="I45" s="2" t="str">
        <f>Data!C46</f>
        <v/>
      </c>
      <c r="J45" s="2" t="str">
        <f>Data!D46</f>
        <v/>
      </c>
      <c r="K45" s="2" t="str">
        <f>Data!E46</f>
        <v/>
      </c>
      <c r="L45" s="2" t="str">
        <f>IF(Data!$S$3&lt;Engine!L$1,0,Data!F46)</f>
        <v/>
      </c>
      <c r="M45" s="2" t="str">
        <f>IF(Data!$S$3&lt;Engine!M$1,0,Data!G46)</f>
        <v/>
      </c>
      <c r="N45" s="2" t="str">
        <f>IF(Data!$S$3&lt;Engine!N$1,0,Data!H46)</f>
        <v/>
      </c>
      <c r="O45" s="2" t="str">
        <f>IF(Data!$S$3&lt;Engine!O$1,0,Data!I46)</f>
        <v/>
      </c>
      <c r="P45" s="2" t="str">
        <f>IF(Data!$S$3&lt;Engine!P$1,0,Data!J46)</f>
        <v/>
      </c>
      <c r="Q45" s="17" t="str">
        <f>IF(Data!B46=1,Data!K46,"No Tips")</f>
        <v>No Tips</v>
      </c>
      <c r="R45" s="2">
        <f>Data!L46</f>
        <v>13</v>
      </c>
      <c r="S45" s="2">
        <f>Data!M46</f>
        <v>1023</v>
      </c>
      <c r="T45" s="15" t="str">
        <f>IF(I45="","",COUNTIF('Live Ladder'!P:P,I45)+COUNTIF('Live Ladder'!P:P,J45)+COUNTIF('Live Ladder'!P:P,K45)+COUNTIF('Live Ladder'!P:P,L45)+COUNTIF('Live Ladder'!P:P,M45)+COUNTIF('Live Ladder'!P:P,N45)+COUNTIF('Live Ladder'!P:P,O45)+COUNTIF('Live Ladder'!P:P,P45))</f>
        <v/>
      </c>
      <c r="U45" s="15" t="str">
        <f>IF(I45="","",IF(COUNTIF('Live Ladder'!P:P,Engine!Q45)=1,2,IF(COUNTIF('Live Ladder'!Q:Q,Engine!Q45)=1,-2,0)))</f>
        <v/>
      </c>
      <c r="V45" s="15" t="str">
        <f>IF(I45="","",IF(T45=Data!S$3,2,0))</f>
        <v/>
      </c>
      <c r="W45" s="15">
        <f t="shared" si="11"/>
        <v>0</v>
      </c>
      <c r="X45" s="15">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20</v>
      </c>
      <c r="Y45">
        <f t="shared" si="17"/>
        <v>13</v>
      </c>
      <c r="Z45">
        <f t="shared" si="12"/>
        <v>1043</v>
      </c>
      <c r="AA45" s="161">
        <f t="shared" si="13"/>
        <v>13.01043005</v>
      </c>
      <c r="AB45">
        <f t="shared" si="16"/>
        <v>0</v>
      </c>
      <c r="AC45" t="str">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
      </c>
      <c r="AF45" t="str">
        <f>IF(I45="","",IF(Q45="",0,IF(AND(Q45&gt;0,COUNTIF('Stats Calculator'!$T$24:$AA$24,Q45)=1),HLOOKUP(Q45,'Stats Calculator'!$T$24:$AA$27,4,FALSE),IF(AND(Q45&gt;0,COUNTIF('Stats Calculator'!$T$25:$AA$25,Q45)=1),HLOOKUP(Q45,'Stats Calculator'!$T$25:$AA$27,3,FALSE)))))</f>
        <v/>
      </c>
      <c r="AG45" t="str">
        <f>IF(I45="","",COUNTIF(I45,'Stats Calculator'!E$31)+COUNTIF(J45,'Stats Calculator'!E$32)+COUNTIF(K45,'Stats Calculator'!E$33)+COUNTIF(L45,'Stats Calculator'!E$34)+COUNTIF(M45,'Stats Calculator'!E$35)+COUNTIF(N45,'Stats Calculator'!E$36)+COUNTIF(O45,'Stats Calculator'!E$37)+COUNTIF(P45,'Stats Calculator'!E$38)-8+Data!S$3)</f>
        <v/>
      </c>
      <c r="AH45" t="str">
        <f>IF(I45="","",IF(Q45="",0,IF(Q45=0,0,IF(VLOOKUP(Engine!AF45,'Stats Calculator'!B$31:E$38,4,FALSE)="",0,IF(VLOOKUP(Engine!AF45,'Stats Calculator'!B$31:E$38,4,FALSE)=Q45,2,-2)))))</f>
        <v/>
      </c>
      <c r="AI45" t="str">
        <f>IF(I45="","",Data!S$3-COUNTA('Stats Calculator'!E$31:E$38))</f>
        <v/>
      </c>
      <c r="AJ45" t="str">
        <f>IF(I45="","",IF(AF45=0,0,IF(VLOOKUP(AF45,'Stats Calculator'!B$31:E$38,4,FALSE)&gt;0,0,2)))</f>
        <v/>
      </c>
      <c r="AK45" t="str">
        <f>IF(I45="","",IF(Data!S$3-Engine!AI45=AG45,2,0))</f>
        <v/>
      </c>
      <c r="AL45" t="str">
        <f t="shared" si="14"/>
        <v/>
      </c>
    </row>
    <row r="46" spans="1:38" s="16" customFormat="1" x14ac:dyDescent="0.3">
      <c r="A46" s="16">
        <v>45</v>
      </c>
      <c r="B46" s="16">
        <f t="shared" si="18"/>
        <v>21</v>
      </c>
      <c r="C46" s="161">
        <f t="shared" si="8"/>
        <v>50.015000049000001</v>
      </c>
      <c r="D46" s="16">
        <f t="shared" si="19"/>
        <v>19</v>
      </c>
      <c r="E46" s="156" t="str">
        <f t="shared" si="9"/>
        <v>p</v>
      </c>
      <c r="F46" s="16">
        <f t="shared" si="10"/>
        <v>2</v>
      </c>
      <c r="G46">
        <v>49</v>
      </c>
      <c r="H46" t="str">
        <f>Data!A47</f>
        <v>murch</v>
      </c>
      <c r="I46" s="2" t="str">
        <f>Data!C47</f>
        <v>Rabbitohs</v>
      </c>
      <c r="J46" s="2" t="str">
        <f>Data!D47</f>
        <v>Storm</v>
      </c>
      <c r="K46" s="2" t="str">
        <f>Data!E47</f>
        <v>Titans</v>
      </c>
      <c r="L46" s="2" t="str">
        <f>IF(Data!$S$3&lt;Engine!L$1,0,Data!F47)</f>
        <v>Panthers</v>
      </c>
      <c r="M46" s="2" t="str">
        <f>IF(Data!$S$3&lt;Engine!M$1,0,Data!G47)</f>
        <v>Eels</v>
      </c>
      <c r="N46" s="2" t="str">
        <f>IF(Data!$S$3&lt;Engine!N$1,0,Data!H47)</f>
        <v>Roosters</v>
      </c>
      <c r="O46" s="2" t="str">
        <f>IF(Data!$S$3&lt;Engine!O$1,0,Data!I47)</f>
        <v>Cowboys</v>
      </c>
      <c r="P46" s="2" t="str">
        <f>IF(Data!$S$3&lt;Engine!P$1,0,Data!J47)</f>
        <v>Dragons</v>
      </c>
      <c r="Q46" s="17" t="str">
        <f>IF(Data!B47=1,Data!K47,"No Tips")</f>
        <v>Eels</v>
      </c>
      <c r="R46" s="2">
        <f>Data!L47</f>
        <v>50</v>
      </c>
      <c r="S46" s="2">
        <f>Data!M47</f>
        <v>1500</v>
      </c>
      <c r="T46" s="157">
        <f>IF(I46="","",COUNTIF('Live Ladder'!P:P,I46)+COUNTIF('Live Ladder'!P:P,J46)+COUNTIF('Live Ladder'!P:P,K46)+COUNTIF('Live Ladder'!P:P,L46)+COUNTIF('Live Ladder'!P:P,M46)+COUNTIF('Live Ladder'!P:P,N46)+COUNTIF('Live Ladder'!P:P,O46)+COUNTIF('Live Ladder'!P:P,P46))</f>
        <v>1</v>
      </c>
      <c r="U46" s="157">
        <f>IF(I46="","",IF(COUNTIF('Live Ladder'!P:P,Engine!Q46)=1,2,IF(COUNTIF('Live Ladder'!Q:Q,Engine!Q46)=1,-2,0)))</f>
        <v>0</v>
      </c>
      <c r="V46" s="157">
        <f>IF(I46="","",IF(T46=Data!S$3,2,0))</f>
        <v>0</v>
      </c>
      <c r="W46" s="157">
        <f t="shared" si="11"/>
        <v>1</v>
      </c>
      <c r="X46" s="15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34</v>
      </c>
      <c r="Y46" s="16">
        <f t="shared" si="17"/>
        <v>51</v>
      </c>
      <c r="Z46" s="16">
        <f t="shared" si="12"/>
        <v>1534</v>
      </c>
      <c r="AA46" s="161">
        <f t="shared" si="13"/>
        <v>51.015340049000002</v>
      </c>
      <c r="AB46" s="16">
        <f t="shared" si="16"/>
        <v>1</v>
      </c>
      <c r="AC46" s="16">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34</v>
      </c>
      <c r="AF46" s="16">
        <f>IF(I46="","",IF(Q46="",0,IF(AND(Q46&gt;0,COUNTIF('Stats Calculator'!$T$24:$AA$24,Q46)=1),HLOOKUP(Q46,'Stats Calculator'!$T$24:$AA$27,4,FALSE),IF(AND(Q46&gt;0,COUNTIF('Stats Calculator'!$T$25:$AA$25,Q46)=1),HLOOKUP(Q46,'Stats Calculator'!$T$25:$AA$27,3,FALSE)))))</f>
        <v>5</v>
      </c>
      <c r="AG46" s="16">
        <f>IF(I46="","",COUNTIF(I46,'Stats Calculator'!E$31)+COUNTIF(J46,'Stats Calculator'!E$32)+COUNTIF(K46,'Stats Calculator'!E$33)+COUNTIF(L46,'Stats Calculator'!E$34)+COUNTIF(M46,'Stats Calculator'!E$35)+COUNTIF(N46,'Stats Calculator'!E$36)+COUNTIF(O46,'Stats Calculator'!E$37)+COUNTIF(P46,'Stats Calculator'!E$38)-8+Data!S$3)</f>
        <v>1</v>
      </c>
      <c r="AH46" s="16">
        <f>IF(I46="","",IF(Q46="",0,IF(Q46=0,0,IF(VLOOKUP(Engine!AF46,'Stats Calculator'!B$31:E$38,4,FALSE)="",0,IF(VLOOKUP(Engine!AF46,'Stats Calculator'!B$31:E$38,4,FALSE)=Q46,2,-2)))))</f>
        <v>0</v>
      </c>
      <c r="AI46" s="16">
        <f>IF(I46="","",Data!S$3-COUNTA('Stats Calculator'!E$31:E$38))</f>
        <v>7</v>
      </c>
      <c r="AJ46" s="16">
        <f>IF(I46="","",IF(AF46=0,0,IF(VLOOKUP(AF46,'Stats Calculator'!B$31:E$38,4,FALSE)&gt;0,0,2)))</f>
        <v>2</v>
      </c>
      <c r="AK46" s="16">
        <f>IF(I46="","",IF(Data!S$3-Engine!AI46=AG46,2,0))</f>
        <v>2</v>
      </c>
      <c r="AL46" s="16">
        <f t="shared" si="14"/>
        <v>12</v>
      </c>
    </row>
    <row r="47" spans="1:38" x14ac:dyDescent="0.3">
      <c r="A47">
        <v>46</v>
      </c>
      <c r="B47">
        <f t="shared" si="18"/>
        <v>61</v>
      </c>
      <c r="C47" s="161">
        <f t="shared" si="8"/>
        <v>42.014010047999996</v>
      </c>
      <c r="D47">
        <f t="shared" si="19"/>
        <v>62</v>
      </c>
      <c r="E47" s="4" t="str">
        <f t="shared" si="9"/>
        <v>q</v>
      </c>
      <c r="F47">
        <f t="shared" si="10"/>
        <v>1</v>
      </c>
      <c r="G47">
        <v>48</v>
      </c>
      <c r="H47" t="str">
        <f>Data!A48</f>
        <v>NotLast</v>
      </c>
      <c r="I47" s="2" t="str">
        <f>Data!C48</f>
        <v>Raiders</v>
      </c>
      <c r="J47" s="2" t="str">
        <f>Data!D48</f>
        <v>Storm</v>
      </c>
      <c r="K47" s="2" t="str">
        <f>Data!E48</f>
        <v>Broncos</v>
      </c>
      <c r="L47" s="2" t="str">
        <f>IF(Data!$S$3&lt;Engine!L$1,0,Data!F48)</f>
        <v>Panthers</v>
      </c>
      <c r="M47" s="2" t="str">
        <f>IF(Data!$S$3&lt;Engine!M$1,0,Data!G48)</f>
        <v>Eels</v>
      </c>
      <c r="N47" s="2" t="str">
        <f>IF(Data!$S$3&lt;Engine!N$1,0,Data!H48)</f>
        <v>Roosters</v>
      </c>
      <c r="O47" s="2" t="str">
        <f>IF(Data!$S$3&lt;Engine!O$1,0,Data!I48)</f>
        <v>Warriors</v>
      </c>
      <c r="P47" s="2" t="str">
        <f>IF(Data!$S$3&lt;Engine!P$1,0,Data!J48)</f>
        <v>Dragons</v>
      </c>
      <c r="Q47" s="17" t="str">
        <f>IF(Data!B48=1,Data!K48,"No Tips")</f>
        <v>Eels</v>
      </c>
      <c r="R47" s="2">
        <f>Data!L48</f>
        <v>42</v>
      </c>
      <c r="S47" s="2">
        <f>Data!M48</f>
        <v>1401</v>
      </c>
      <c r="T47" s="15">
        <f>IF(I47="","",COUNTIF('Live Ladder'!P:P,I47)+COUNTIF('Live Ladder'!P:P,J47)+COUNTIF('Live Ladder'!P:P,K47)+COUNTIF('Live Ladder'!P:P,L47)+COUNTIF('Live Ladder'!P:P,M47)+COUNTIF('Live Ladder'!P:P,N47)+COUNTIF('Live Ladder'!P:P,O47)+COUNTIF('Live Ladder'!P:P,P47))</f>
        <v>0</v>
      </c>
      <c r="U47" s="15">
        <f>IF(I47="","",IF(COUNTIF('Live Ladder'!P:P,Engine!Q47)=1,2,IF(COUNTIF('Live Ladder'!Q:Q,Engine!Q47)=1,-2,0)))</f>
        <v>0</v>
      </c>
      <c r="V47" s="15">
        <f>IF(I47="","",IF(T47=Data!S$3,2,0))</f>
        <v>0</v>
      </c>
      <c r="W47" s="15">
        <f t="shared" si="11"/>
        <v>0</v>
      </c>
      <c r="X47" s="15">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20</v>
      </c>
      <c r="Y47">
        <f t="shared" si="17"/>
        <v>42</v>
      </c>
      <c r="Z47">
        <f t="shared" si="12"/>
        <v>1421</v>
      </c>
      <c r="AA47" s="161">
        <f t="shared" si="13"/>
        <v>42.014210047999995</v>
      </c>
      <c r="AB47">
        <f t="shared" si="16"/>
        <v>0</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20</v>
      </c>
      <c r="AF47">
        <f>IF(I47="","",IF(Q47="",0,IF(AND(Q47&gt;0,COUNTIF('Stats Calculator'!$T$24:$AA$24,Q47)=1),HLOOKUP(Q47,'Stats Calculator'!$T$24:$AA$27,4,FALSE),IF(AND(Q47&gt;0,COUNTIF('Stats Calculator'!$T$25:$AA$25,Q47)=1),HLOOKUP(Q47,'Stats Calculator'!$T$25:$AA$27,3,FALSE)))))</f>
        <v>5</v>
      </c>
      <c r="AG47">
        <f>IF(I47="","",COUNTIF(I47,'Stats Calculator'!E$31)+COUNTIF(J47,'Stats Calculator'!E$32)+COUNTIF(K47,'Stats Calculator'!E$33)+COUNTIF(L47,'Stats Calculator'!E$34)+COUNTIF(M47,'Stats Calculator'!E$35)+COUNTIF(N47,'Stats Calculator'!E$36)+COUNTIF(O47,'Stats Calculator'!E$37)+COUNTIF(P47,'Stats Calculator'!E$38)-8+Data!S$3)</f>
        <v>0</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0</v>
      </c>
      <c r="AL47">
        <f t="shared" si="14"/>
        <v>9</v>
      </c>
    </row>
    <row r="48" spans="1:38" x14ac:dyDescent="0.3">
      <c r="A48">
        <v>47</v>
      </c>
      <c r="B48">
        <f t="shared" si="18"/>
        <v>20</v>
      </c>
      <c r="C48" s="161">
        <f t="shared" si="8"/>
        <v>50.015320047000003</v>
      </c>
      <c r="D48">
        <f t="shared" si="19"/>
        <v>17</v>
      </c>
      <c r="E48" s="4" t="str">
        <f t="shared" si="9"/>
        <v>p</v>
      </c>
      <c r="F48">
        <f t="shared" si="10"/>
        <v>3</v>
      </c>
      <c r="G48">
        <v>47</v>
      </c>
      <c r="H48" t="str">
        <f>Data!A49</f>
        <v>Offside_Touchie</v>
      </c>
      <c r="I48" s="2" t="str">
        <f>Data!C49</f>
        <v>Rabbitohs</v>
      </c>
      <c r="J48" s="2" t="str">
        <f>Data!D49</f>
        <v>Storm</v>
      </c>
      <c r="K48" s="2" t="str">
        <f>Data!E49</f>
        <v>Titans</v>
      </c>
      <c r="L48" s="2" t="str">
        <f>IF(Data!$S$3&lt;Engine!L$1,0,Data!F49)</f>
        <v>Panthers</v>
      </c>
      <c r="M48" s="2" t="str">
        <f>IF(Data!$S$3&lt;Engine!M$1,0,Data!G49)</f>
        <v>Eels</v>
      </c>
      <c r="N48" s="2" t="str">
        <f>IF(Data!$S$3&lt;Engine!N$1,0,Data!H49)</f>
        <v>Roosters</v>
      </c>
      <c r="O48" s="2" t="str">
        <f>IF(Data!$S$3&lt;Engine!O$1,0,Data!I49)</f>
        <v>Warriors</v>
      </c>
      <c r="P48" s="2" t="str">
        <f>IF(Data!$S$3&lt;Engine!P$1,0,Data!J49)</f>
        <v>Dragons</v>
      </c>
      <c r="Q48" s="17" t="str">
        <f>IF(Data!B49=1,Data!K49,"No Tips")</f>
        <v>Storm</v>
      </c>
      <c r="R48" s="2">
        <f>Data!L49</f>
        <v>50</v>
      </c>
      <c r="S48" s="2">
        <f>Data!M49</f>
        <v>1532</v>
      </c>
      <c r="T48" s="15">
        <f>IF(I48="","",COUNTIF('Live Ladder'!P:P,I48)+COUNTIF('Live Ladder'!P:P,J48)+COUNTIF('Live Ladder'!P:P,K48)+COUNTIF('Live Ladder'!P:P,L48)+COUNTIF('Live Ladder'!P:P,M48)+COUNTIF('Live Ladder'!P:P,N48)+COUNTIF('Live Ladder'!P:P,O48)+COUNTIF('Live Ladder'!P:P,P48))</f>
        <v>1</v>
      </c>
      <c r="U48" s="15">
        <f>IF(I48="","",IF(COUNTIF('Live Ladder'!P:P,Engine!Q48)=1,2,IF(COUNTIF('Live Ladder'!Q:Q,Engine!Q48)=1,-2,0)))</f>
        <v>0</v>
      </c>
      <c r="V48" s="15">
        <f>IF(I48="","",IF(T48=Data!S$3,2,0))</f>
        <v>0</v>
      </c>
      <c r="W48" s="15">
        <f t="shared" si="11"/>
        <v>1</v>
      </c>
      <c r="X48" s="15">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34</v>
      </c>
      <c r="Y48">
        <f t="shared" si="17"/>
        <v>51</v>
      </c>
      <c r="Z48">
        <f t="shared" si="12"/>
        <v>1566</v>
      </c>
      <c r="AA48" s="161">
        <f t="shared" si="13"/>
        <v>51.015660046999997</v>
      </c>
      <c r="AB48">
        <f t="shared" si="1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34</v>
      </c>
      <c r="AF48">
        <f>IF(I48="","",IF(Q48="",0,IF(AND(Q48&gt;0,COUNTIF('Stats Calculator'!$T$24:$AA$24,Q48)=1),HLOOKUP(Q48,'Stats Calculator'!$T$24:$AA$27,4,FALSE),IF(AND(Q48&gt;0,COUNTIF('Stats Calculator'!$T$25:$AA$25,Q48)=1),HLOOKUP(Q48,'Stats Calculator'!$T$25:$AA$27,3,FALSE)))))</f>
        <v>2</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2</v>
      </c>
      <c r="AL48">
        <f t="shared" si="14"/>
        <v>12</v>
      </c>
    </row>
    <row r="49" spans="1:38" s="16" customFormat="1" x14ac:dyDescent="0.3">
      <c r="A49">
        <v>48</v>
      </c>
      <c r="B49">
        <f t="shared" si="18"/>
        <v>3</v>
      </c>
      <c r="C49" s="161">
        <f t="shared" si="8"/>
        <v>54.014930045999996</v>
      </c>
      <c r="D49">
        <f t="shared" si="19"/>
        <v>3</v>
      </c>
      <c r="E49" s="4" t="str">
        <f t="shared" si="9"/>
        <v>u</v>
      </c>
      <c r="F49" t="str">
        <f t="shared" si="10"/>
        <v/>
      </c>
      <c r="G49">
        <v>46</v>
      </c>
      <c r="H49" t="str">
        <f>Data!A50</f>
        <v>Om786</v>
      </c>
      <c r="I49" s="2" t="str">
        <f>Data!C50</f>
        <v>Rabbitohs</v>
      </c>
      <c r="J49" s="2" t="str">
        <f>Data!D50</f>
        <v>Storm</v>
      </c>
      <c r="K49" s="2" t="str">
        <f>Data!E50</f>
        <v>Titans</v>
      </c>
      <c r="L49" s="2" t="str">
        <f>IF(Data!$S$3&lt;Engine!L$1,0,Data!F50)</f>
        <v>Panthers</v>
      </c>
      <c r="M49" s="2" t="str">
        <f>IF(Data!$S$3&lt;Engine!M$1,0,Data!G50)</f>
        <v>Eels</v>
      </c>
      <c r="N49" s="2" t="str">
        <f>IF(Data!$S$3&lt;Engine!N$1,0,Data!H50)</f>
        <v>Roosters</v>
      </c>
      <c r="O49" s="2" t="str">
        <f>IF(Data!$S$3&lt;Engine!O$1,0,Data!I50)</f>
        <v>Warriors</v>
      </c>
      <c r="P49" s="2" t="str">
        <f>IF(Data!$S$3&lt;Engine!P$1,0,Data!J50)</f>
        <v>Dragons</v>
      </c>
      <c r="Q49" s="17" t="str">
        <f>IF(Data!B50=1,Data!K50,"No Tips")</f>
        <v>Storm</v>
      </c>
      <c r="R49" s="2">
        <f>Data!L50</f>
        <v>54</v>
      </c>
      <c r="S49" s="2">
        <f>Data!M50</f>
        <v>1493</v>
      </c>
      <c r="T49" s="15">
        <f>IF(I49="","",COUNTIF('Live Ladder'!P:P,I49)+COUNTIF('Live Ladder'!P:P,J49)+COUNTIF('Live Ladder'!P:P,K49)+COUNTIF('Live Ladder'!P:P,L49)+COUNTIF('Live Ladder'!P:P,M49)+COUNTIF('Live Ladder'!P:P,N49)+COUNTIF('Live Ladder'!P:P,O49)+COUNTIF('Live Ladder'!P:P,P49))</f>
        <v>1</v>
      </c>
      <c r="U49" s="15">
        <f>IF(I49="","",IF(COUNTIF('Live Ladder'!P:P,Engine!Q49)=1,2,IF(COUNTIF('Live Ladder'!Q:Q,Engine!Q49)=1,-2,0)))</f>
        <v>0</v>
      </c>
      <c r="V49" s="15">
        <f>IF(I49="","",IF(T49=Data!S$3,2,0))</f>
        <v>0</v>
      </c>
      <c r="W49" s="15">
        <f t="shared" si="11"/>
        <v>1</v>
      </c>
      <c r="X49" s="15">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34</v>
      </c>
      <c r="Y49">
        <f t="shared" si="17"/>
        <v>55</v>
      </c>
      <c r="Z49">
        <f t="shared" si="12"/>
        <v>1527</v>
      </c>
      <c r="AA49" s="161">
        <f t="shared" si="13"/>
        <v>55.015270045999998</v>
      </c>
      <c r="AB49">
        <f t="shared" si="1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34</v>
      </c>
      <c r="AD49"/>
      <c r="AE49"/>
      <c r="AF49">
        <f>IF(I49="","",IF(Q49="",0,IF(AND(Q49&gt;0,COUNTIF('Stats Calculator'!$T$24:$AA$24,Q49)=1),HLOOKUP(Q49,'Stats Calculator'!$T$24:$AA$27,4,FALSE),IF(AND(Q49&gt;0,COUNTIF('Stats Calculator'!$T$25:$AA$25,Q49)=1),HLOOKUP(Q49,'Stats Calculator'!$T$25:$AA$27,3,FALSE)))))</f>
        <v>2</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
      <c r="A50">
        <v>49</v>
      </c>
      <c r="B50">
        <f t="shared" si="18"/>
        <v>8</v>
      </c>
      <c r="C50" s="161">
        <f t="shared" si="8"/>
        <v>53.015050045000002</v>
      </c>
      <c r="D50">
        <f t="shared" si="19"/>
        <v>8</v>
      </c>
      <c r="E50" s="4" t="str">
        <f t="shared" si="9"/>
        <v>u</v>
      </c>
      <c r="F50" t="str">
        <f t="shared" si="10"/>
        <v/>
      </c>
      <c r="G50">
        <v>45</v>
      </c>
      <c r="H50" t="str">
        <f>Data!A51</f>
        <v>Pablo</v>
      </c>
      <c r="I50" s="2" t="str">
        <f>Data!C51</f>
        <v>Rabbitohs</v>
      </c>
      <c r="J50" s="2" t="str">
        <f>Data!D51</f>
        <v>Storm</v>
      </c>
      <c r="K50" s="2" t="str">
        <f>Data!E51</f>
        <v>Titans</v>
      </c>
      <c r="L50" s="2" t="str">
        <f>IF(Data!$S$3&lt;Engine!L$1,0,Data!F51)</f>
        <v>Panthers</v>
      </c>
      <c r="M50" s="2" t="str">
        <f>IF(Data!$S$3&lt;Engine!M$1,0,Data!G51)</f>
        <v>Eels</v>
      </c>
      <c r="N50" s="2" t="str">
        <f>IF(Data!$S$3&lt;Engine!N$1,0,Data!H51)</f>
        <v>Roosters</v>
      </c>
      <c r="O50" s="2" t="str">
        <f>IF(Data!$S$3&lt;Engine!O$1,0,Data!I51)</f>
        <v>Warriors</v>
      </c>
      <c r="P50" s="2" t="str">
        <f>IF(Data!$S$3&lt;Engine!P$1,0,Data!J51)</f>
        <v>Dragons</v>
      </c>
      <c r="Q50" s="17" t="str">
        <f>IF(Data!B51=1,Data!K51,"No Tips")</f>
        <v>Storm</v>
      </c>
      <c r="R50" s="2">
        <f>Data!L51</f>
        <v>53</v>
      </c>
      <c r="S50" s="2">
        <f>Data!M51</f>
        <v>1505</v>
      </c>
      <c r="T50" s="15">
        <f>IF(I50="","",COUNTIF('Live Ladder'!P:P,I50)+COUNTIF('Live Ladder'!P:P,J50)+COUNTIF('Live Ladder'!P:P,K50)+COUNTIF('Live Ladder'!P:P,L50)+COUNTIF('Live Ladder'!P:P,M50)+COUNTIF('Live Ladder'!P:P,N50)+COUNTIF('Live Ladder'!P:P,O50)+COUNTIF('Live Ladder'!P:P,P50))</f>
        <v>1</v>
      </c>
      <c r="U50" s="15">
        <f>IF(I50="","",IF(COUNTIF('Live Ladder'!P:P,Engine!Q50)=1,2,IF(COUNTIF('Live Ladder'!Q:Q,Engine!Q50)=1,-2,0)))</f>
        <v>0</v>
      </c>
      <c r="V50" s="15">
        <f>IF(I50="","",IF(T50=Data!S$3,2,0))</f>
        <v>0</v>
      </c>
      <c r="W50" s="15">
        <f t="shared" si="11"/>
        <v>1</v>
      </c>
      <c r="X50" s="15">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34</v>
      </c>
      <c r="Y50">
        <f t="shared" si="17"/>
        <v>54</v>
      </c>
      <c r="Z50">
        <f t="shared" si="12"/>
        <v>1539</v>
      </c>
      <c r="AA50" s="161">
        <f t="shared" si="13"/>
        <v>54.015390044999997</v>
      </c>
      <c r="AB50">
        <f t="shared" si="1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34</v>
      </c>
      <c r="AF50">
        <f>IF(I50="","",IF(Q50="",0,IF(AND(Q50&gt;0,COUNTIF('Stats Calculator'!$T$24:$AA$24,Q50)=1),HLOOKUP(Q50,'Stats Calculator'!$T$24:$AA$27,4,FALSE),IF(AND(Q50&gt;0,COUNTIF('Stats Calculator'!$T$25:$AA$25,Q50)=1),HLOOKUP(Q50,'Stats Calculator'!$T$25:$AA$27,3,FALSE)))))</f>
        <v>2</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2</v>
      </c>
      <c r="AL50">
        <f t="shared" si="14"/>
        <v>12</v>
      </c>
    </row>
    <row r="51" spans="1:38" x14ac:dyDescent="0.3">
      <c r="A51">
        <v>50</v>
      </c>
      <c r="B51">
        <f t="shared" si="18"/>
        <v>17</v>
      </c>
      <c r="C51" s="161">
        <f t="shared" si="8"/>
        <v>50.015620043999995</v>
      </c>
      <c r="D51">
        <f t="shared" si="19"/>
        <v>23</v>
      </c>
      <c r="E51" s="4" t="str">
        <f t="shared" si="9"/>
        <v>q</v>
      </c>
      <c r="F51">
        <f t="shared" si="10"/>
        <v>6</v>
      </c>
      <c r="G51">
        <v>44</v>
      </c>
      <c r="H51" t="str">
        <f>Data!A52</f>
        <v>PabloW</v>
      </c>
      <c r="I51" s="2" t="str">
        <f>Data!C52</f>
        <v>Raiders</v>
      </c>
      <c r="J51" s="2" t="str">
        <f>Data!D52</f>
        <v>Storm</v>
      </c>
      <c r="K51" s="2" t="str">
        <f>Data!E52</f>
        <v>Titans</v>
      </c>
      <c r="L51" s="2" t="str">
        <f>IF(Data!$S$3&lt;Engine!L$1,0,Data!F52)</f>
        <v>Panthers</v>
      </c>
      <c r="M51" s="2" t="str">
        <f>IF(Data!$S$3&lt;Engine!M$1,0,Data!G52)</f>
        <v>Eels</v>
      </c>
      <c r="N51" s="2" t="str">
        <f>IF(Data!$S$3&lt;Engine!N$1,0,Data!H52)</f>
        <v>Roosters</v>
      </c>
      <c r="O51" s="2" t="str">
        <f>IF(Data!$S$3&lt;Engine!O$1,0,Data!I52)</f>
        <v>Warriors</v>
      </c>
      <c r="P51" s="2" t="str">
        <f>IF(Data!$S$3&lt;Engine!P$1,0,Data!J52)</f>
        <v>Dragons</v>
      </c>
      <c r="Q51" s="17" t="str">
        <f>IF(Data!B52=1,Data!K52,"No Tips")</f>
        <v>Eels</v>
      </c>
      <c r="R51" s="2">
        <f>Data!L52</f>
        <v>50</v>
      </c>
      <c r="S51" s="2">
        <f>Data!M52</f>
        <v>1562</v>
      </c>
      <c r="T51" s="15">
        <f>IF(I51="","",COUNTIF('Live Ladder'!P:P,I51)+COUNTIF('Live Ladder'!P:P,J51)+COUNTIF('Live Ladder'!P:P,K51)+COUNTIF('Live Ladder'!P:P,L51)+COUNTIF('Live Ladder'!P:P,M51)+COUNTIF('Live Ladder'!P:P,N51)+COUNTIF('Live Ladder'!P:P,O51)+COUNTIF('Live Ladder'!P:P,P51))</f>
        <v>0</v>
      </c>
      <c r="U51" s="15">
        <f>IF(I51="","",IF(COUNTIF('Live Ladder'!P:P,Engine!Q51)=1,2,IF(COUNTIF('Live Ladder'!Q:Q,Engine!Q51)=1,-2,0)))</f>
        <v>0</v>
      </c>
      <c r="V51" s="15">
        <f>IF(I51="","",IF(T51=Data!S$3,2,0))</f>
        <v>0</v>
      </c>
      <c r="W51" s="15">
        <f t="shared" si="11"/>
        <v>0</v>
      </c>
      <c r="X51" s="15">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20</v>
      </c>
      <c r="Y51">
        <f t="shared" si="17"/>
        <v>50</v>
      </c>
      <c r="Z51">
        <f t="shared" si="12"/>
        <v>1582</v>
      </c>
      <c r="AA51" s="161">
        <f t="shared" si="13"/>
        <v>50.015820043999994</v>
      </c>
      <c r="AB51">
        <f t="shared" si="16"/>
        <v>0</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20</v>
      </c>
      <c r="AD51" s="16"/>
      <c r="AE51" s="16"/>
      <c r="AF51">
        <f>IF(I51="","",IF(Q51="",0,IF(AND(Q51&gt;0,COUNTIF('Stats Calculator'!$T$24:$AA$24,Q51)=1),HLOOKUP(Q51,'Stats Calculator'!$T$24:$AA$27,4,FALSE),IF(AND(Q51&gt;0,COUNTIF('Stats Calculator'!$T$25:$AA$25,Q51)=1),HLOOKUP(Q51,'Stats Calculator'!$T$25:$AA$27,3,FALSE)))))</f>
        <v>5</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0</v>
      </c>
      <c r="AL51">
        <f t="shared" si="14"/>
        <v>9</v>
      </c>
    </row>
    <row r="52" spans="1:38" x14ac:dyDescent="0.3">
      <c r="A52">
        <v>51</v>
      </c>
      <c r="B52">
        <f t="shared" si="18"/>
        <v>58</v>
      </c>
      <c r="C52" s="161">
        <f t="shared" si="8"/>
        <v>43.014030042999998</v>
      </c>
      <c r="D52">
        <f t="shared" si="19"/>
        <v>60</v>
      </c>
      <c r="E52" s="4" t="str">
        <f t="shared" si="9"/>
        <v>q</v>
      </c>
      <c r="F52">
        <f t="shared" si="10"/>
        <v>2</v>
      </c>
      <c r="G52">
        <v>43</v>
      </c>
      <c r="H52" t="str">
        <f>Data!A53</f>
        <v>Pantherman</v>
      </c>
      <c r="I52" s="2" t="str">
        <f>Data!C53</f>
        <v>Raiders</v>
      </c>
      <c r="J52" s="2" t="str">
        <f>Data!D53</f>
        <v>Storm</v>
      </c>
      <c r="K52" s="2" t="str">
        <f>Data!E53</f>
        <v>Titans</v>
      </c>
      <c r="L52" s="2" t="str">
        <f>IF(Data!$S$3&lt;Engine!L$1,0,Data!F53)</f>
        <v>Panthers</v>
      </c>
      <c r="M52" s="2" t="str">
        <f>IF(Data!$S$3&lt;Engine!M$1,0,Data!G53)</f>
        <v>Eels</v>
      </c>
      <c r="N52" s="2" t="str">
        <f>IF(Data!$S$3&lt;Engine!N$1,0,Data!H53)</f>
        <v>Knights</v>
      </c>
      <c r="O52" s="2" t="str">
        <f>IF(Data!$S$3&lt;Engine!O$1,0,Data!I53)</f>
        <v>Warriors</v>
      </c>
      <c r="P52" s="2" t="str">
        <f>IF(Data!$S$3&lt;Engine!P$1,0,Data!J53)</f>
        <v>Dragons</v>
      </c>
      <c r="Q52" s="17" t="str">
        <f>IF(Data!B53=1,Data!K53,"No Tips")</f>
        <v>Eels</v>
      </c>
      <c r="R52" s="2">
        <f>Data!L53</f>
        <v>43</v>
      </c>
      <c r="S52" s="2">
        <f>Data!M53</f>
        <v>1403</v>
      </c>
      <c r="T52" s="15">
        <f>IF(I52="","",COUNTIF('Live Ladder'!P:P,I52)+COUNTIF('Live Ladder'!P:P,J52)+COUNTIF('Live Ladder'!P:P,K52)+COUNTIF('Live Ladder'!P:P,L52)+COUNTIF('Live Ladder'!P:P,M52)+COUNTIF('Live Ladder'!P:P,N52)+COUNTIF('Live Ladder'!P:P,O52)+COUNTIF('Live Ladder'!P:P,P52))</f>
        <v>0</v>
      </c>
      <c r="U52" s="15">
        <f>IF(I52="","",IF(COUNTIF('Live Ladder'!P:P,Engine!Q52)=1,2,IF(COUNTIF('Live Ladder'!Q:Q,Engine!Q52)=1,-2,0)))</f>
        <v>0</v>
      </c>
      <c r="V52" s="15">
        <f>IF(I52="","",IF(T52=Data!S$3,2,0))</f>
        <v>0</v>
      </c>
      <c r="W52" s="15">
        <f t="shared" si="11"/>
        <v>0</v>
      </c>
      <c r="X52" s="15">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20</v>
      </c>
      <c r="Y52">
        <f t="shared" si="17"/>
        <v>43</v>
      </c>
      <c r="Z52">
        <f t="shared" si="12"/>
        <v>1423</v>
      </c>
      <c r="AA52" s="161">
        <f t="shared" si="13"/>
        <v>43.014230042999998</v>
      </c>
      <c r="AB52">
        <f t="shared" si="16"/>
        <v>0</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20</v>
      </c>
      <c r="AF52">
        <f>IF(I52="","",IF(Q52="",0,IF(AND(Q52&gt;0,COUNTIF('Stats Calculator'!$T$24:$AA$24,Q52)=1),HLOOKUP(Q52,'Stats Calculator'!$T$24:$AA$27,4,FALSE),IF(AND(Q52&gt;0,COUNTIF('Stats Calculator'!$T$25:$AA$25,Q52)=1),HLOOKUP(Q52,'Stats Calculator'!$T$25:$AA$27,3,FALSE)))))</f>
        <v>5</v>
      </c>
      <c r="AG52">
        <f>IF(I52="","",COUNTIF(I52,'Stats Calculator'!E$31)+COUNTIF(J52,'Stats Calculator'!E$32)+COUNTIF(K52,'Stats Calculator'!E$33)+COUNTIF(L52,'Stats Calculator'!E$34)+COUNTIF(M52,'Stats Calculator'!E$35)+COUNTIF(N52,'Stats Calculator'!E$36)+COUNTIF(O52,'Stats Calculator'!E$37)+COUNTIF(P52,'Stats Calculator'!E$38)-8+Data!S$3)</f>
        <v>0</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0</v>
      </c>
      <c r="AL52">
        <f t="shared" si="14"/>
        <v>9</v>
      </c>
    </row>
    <row r="53" spans="1:38" x14ac:dyDescent="0.3">
      <c r="A53">
        <v>52</v>
      </c>
      <c r="B53">
        <f t="shared" si="18"/>
        <v>7</v>
      </c>
      <c r="C53" s="161">
        <f t="shared" si="8"/>
        <v>53.015100042</v>
      </c>
      <c r="D53">
        <f t="shared" si="19"/>
        <v>7</v>
      </c>
      <c r="E53" s="4" t="str">
        <f t="shared" si="9"/>
        <v>u</v>
      </c>
      <c r="F53" t="str">
        <f t="shared" si="10"/>
        <v/>
      </c>
      <c r="G53">
        <v>42</v>
      </c>
      <c r="H53" t="str">
        <f>Data!A54</f>
        <v>Panthers29</v>
      </c>
      <c r="I53" s="2" t="str">
        <f>Data!C54</f>
        <v>Rabbitohs</v>
      </c>
      <c r="J53" s="2" t="str">
        <f>Data!D54</f>
        <v>Storm</v>
      </c>
      <c r="K53" s="2" t="str">
        <f>Data!E54</f>
        <v>Titans</v>
      </c>
      <c r="L53" s="2" t="str">
        <f>IF(Data!$S$3&lt;Engine!L$1,0,Data!F54)</f>
        <v>Panthers</v>
      </c>
      <c r="M53" s="2" t="str">
        <f>IF(Data!$S$3&lt;Engine!M$1,0,Data!G54)</f>
        <v>Eels</v>
      </c>
      <c r="N53" s="2" t="str">
        <f>IF(Data!$S$3&lt;Engine!N$1,0,Data!H54)</f>
        <v>Roosters</v>
      </c>
      <c r="O53" s="2" t="str">
        <f>IF(Data!$S$3&lt;Engine!O$1,0,Data!I54)</f>
        <v>Warriors</v>
      </c>
      <c r="P53" s="2" t="str">
        <f>IF(Data!$S$3&lt;Engine!P$1,0,Data!J54)</f>
        <v>Dragons</v>
      </c>
      <c r="Q53" s="17" t="str">
        <f>IF(Data!B54=1,Data!K54,"No Tips")</f>
        <v>Storm</v>
      </c>
      <c r="R53" s="2">
        <f>Data!L54</f>
        <v>53</v>
      </c>
      <c r="S53" s="2">
        <f>Data!M54</f>
        <v>1510</v>
      </c>
      <c r="T53" s="15">
        <f>IF(I53="","",COUNTIF('Live Ladder'!P:P,I53)+COUNTIF('Live Ladder'!P:P,J53)+COUNTIF('Live Ladder'!P:P,K53)+COUNTIF('Live Ladder'!P:P,L53)+COUNTIF('Live Ladder'!P:P,M53)+COUNTIF('Live Ladder'!P:P,N53)+COUNTIF('Live Ladder'!P:P,O53)+COUNTIF('Live Ladder'!P:P,P53))</f>
        <v>1</v>
      </c>
      <c r="U53" s="15">
        <f>IF(I53="","",IF(COUNTIF('Live Ladder'!P:P,Engine!Q53)=1,2,IF(COUNTIF('Live Ladder'!Q:Q,Engine!Q53)=1,-2,0)))</f>
        <v>0</v>
      </c>
      <c r="V53" s="15">
        <f>IF(I53="","",IF(T53=Data!S$3,2,0))</f>
        <v>0</v>
      </c>
      <c r="W53" s="15">
        <f t="shared" si="11"/>
        <v>1</v>
      </c>
      <c r="X53" s="15">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34</v>
      </c>
      <c r="Y53">
        <f t="shared" si="17"/>
        <v>54</v>
      </c>
      <c r="Z53">
        <f t="shared" si="12"/>
        <v>1544</v>
      </c>
      <c r="AA53" s="161">
        <f t="shared" si="13"/>
        <v>54.015440042000002</v>
      </c>
      <c r="AB53">
        <f t="shared" si="16"/>
        <v>1</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34</v>
      </c>
      <c r="AF53">
        <f>IF(I53="","",IF(Q53="",0,IF(AND(Q53&gt;0,COUNTIF('Stats Calculator'!$T$24:$AA$24,Q53)=1),HLOOKUP(Q53,'Stats Calculator'!$T$24:$AA$27,4,FALSE),IF(AND(Q53&gt;0,COUNTIF('Stats Calculator'!$T$25:$AA$25,Q53)=1),HLOOKUP(Q53,'Stats Calculator'!$T$25:$AA$27,3,FALSE)))))</f>
        <v>2</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2</v>
      </c>
      <c r="AL53">
        <f t="shared" si="14"/>
        <v>12</v>
      </c>
    </row>
    <row r="54" spans="1:38" x14ac:dyDescent="0.3">
      <c r="A54">
        <v>53</v>
      </c>
      <c r="B54">
        <f t="shared" si="18"/>
        <v>39</v>
      </c>
      <c r="C54" s="161">
        <f t="shared" si="8"/>
        <v>48.013980040999996</v>
      </c>
      <c r="D54">
        <f t="shared" si="19"/>
        <v>46</v>
      </c>
      <c r="E54" s="4" t="str">
        <f t="shared" si="9"/>
        <v>q</v>
      </c>
      <c r="F54">
        <f t="shared" si="10"/>
        <v>7</v>
      </c>
      <c r="G54">
        <v>41</v>
      </c>
      <c r="H54" t="str">
        <f>Data!A55</f>
        <v>Rab_i</v>
      </c>
      <c r="I54" s="2" t="str">
        <f>Data!C55</f>
        <v>Raiders</v>
      </c>
      <c r="J54" s="2" t="str">
        <f>Data!D55</f>
        <v>Storm</v>
      </c>
      <c r="K54" s="2" t="str">
        <f>Data!E55</f>
        <v>Broncos</v>
      </c>
      <c r="L54" s="2" t="str">
        <f>IF(Data!$S$3&lt;Engine!L$1,0,Data!F55)</f>
        <v>Sea Eagles</v>
      </c>
      <c r="M54" s="2" t="str">
        <f>IF(Data!$S$3&lt;Engine!M$1,0,Data!G55)</f>
        <v>Eels</v>
      </c>
      <c r="N54" s="2" t="str">
        <f>IF(Data!$S$3&lt;Engine!N$1,0,Data!H55)</f>
        <v>Roosters</v>
      </c>
      <c r="O54" s="2" t="str">
        <f>IF(Data!$S$3&lt;Engine!O$1,0,Data!I55)</f>
        <v>Cowboys</v>
      </c>
      <c r="P54" s="2" t="str">
        <f>IF(Data!$S$3&lt;Engine!P$1,0,Data!J55)</f>
        <v>Wests Tigers</v>
      </c>
      <c r="Q54" s="17" t="str">
        <f>IF(Data!B55=1,Data!K55,"No Tips")</f>
        <v>Storm</v>
      </c>
      <c r="R54" s="2">
        <f>Data!L55</f>
        <v>48</v>
      </c>
      <c r="S54" s="2">
        <f>Data!M55</f>
        <v>1398</v>
      </c>
      <c r="T54" s="15">
        <f>IF(I54="","",COUNTIF('Live Ladder'!P:P,I54)+COUNTIF('Live Ladder'!P:P,J54)+COUNTIF('Live Ladder'!P:P,K54)+COUNTIF('Live Ladder'!P:P,L54)+COUNTIF('Live Ladder'!P:P,M54)+COUNTIF('Live Ladder'!P:P,N54)+COUNTIF('Live Ladder'!P:P,O54)+COUNTIF('Live Ladder'!P:P,P54))</f>
        <v>0</v>
      </c>
      <c r="U54" s="15">
        <f>IF(I54="","",IF(COUNTIF('Live Ladder'!P:P,Engine!Q54)=1,2,IF(COUNTIF('Live Ladder'!Q:Q,Engine!Q54)=1,-2,0)))</f>
        <v>0</v>
      </c>
      <c r="V54" s="15">
        <f>IF(I54="","",IF(T54=Data!S$3,2,0))</f>
        <v>0</v>
      </c>
      <c r="W54" s="15">
        <f t="shared" si="11"/>
        <v>0</v>
      </c>
      <c r="X54" s="15">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20</v>
      </c>
      <c r="Y54">
        <f t="shared" si="17"/>
        <v>48</v>
      </c>
      <c r="Z54">
        <f t="shared" si="12"/>
        <v>1418</v>
      </c>
      <c r="AA54" s="161">
        <f t="shared" si="13"/>
        <v>48.014180041000003</v>
      </c>
      <c r="AB54">
        <f t="shared" si="16"/>
        <v>0</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20</v>
      </c>
      <c r="AF54">
        <f>IF(I54="","",IF(Q54="",0,IF(AND(Q54&gt;0,COUNTIF('Stats Calculator'!$T$24:$AA$24,Q54)=1),HLOOKUP(Q54,'Stats Calculator'!$T$24:$AA$27,4,FALSE),IF(AND(Q54&gt;0,COUNTIF('Stats Calculator'!$T$25:$AA$25,Q54)=1),HLOOKUP(Q54,'Stats Calculator'!$T$25:$AA$27,3,FALSE)))))</f>
        <v>2</v>
      </c>
      <c r="AG54">
        <f>IF(I54="","",COUNTIF(I54,'Stats Calculator'!E$31)+COUNTIF(J54,'Stats Calculator'!E$32)+COUNTIF(K54,'Stats Calculator'!E$33)+COUNTIF(L54,'Stats Calculator'!E$34)+COUNTIF(M54,'Stats Calculator'!E$35)+COUNTIF(N54,'Stats Calculator'!E$36)+COUNTIF(O54,'Stats Calculator'!E$37)+COUNTIF(P54,'Stats Calculator'!E$38)-8+Data!S$3)</f>
        <v>0</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0</v>
      </c>
      <c r="AL54">
        <f t="shared" si="14"/>
        <v>9</v>
      </c>
    </row>
    <row r="55" spans="1:38" x14ac:dyDescent="0.3">
      <c r="A55">
        <v>54</v>
      </c>
      <c r="B55">
        <f t="shared" si="18"/>
        <v>60</v>
      </c>
      <c r="C55" s="161">
        <f t="shared" si="8"/>
        <v>42.014690040000005</v>
      </c>
      <c r="D55">
        <f t="shared" si="19"/>
        <v>59</v>
      </c>
      <c r="E55" s="4" t="str">
        <f t="shared" si="9"/>
        <v>p</v>
      </c>
      <c r="F55">
        <f t="shared" si="10"/>
        <v>1</v>
      </c>
      <c r="G55">
        <v>40</v>
      </c>
      <c r="H55" t="str">
        <f>Data!A56</f>
        <v>Robert Cook</v>
      </c>
      <c r="I55" s="2" t="str">
        <f>Data!C56</f>
        <v>Rabbitohs</v>
      </c>
      <c r="J55" s="2" t="str">
        <f>Data!D56</f>
        <v>Storm</v>
      </c>
      <c r="K55" s="2" t="str">
        <f>Data!E56</f>
        <v>Titans</v>
      </c>
      <c r="L55" s="2" t="str">
        <f>IF(Data!$S$3&lt;Engine!L$1,0,Data!F56)</f>
        <v>Sea Eagles</v>
      </c>
      <c r="M55" s="2" t="str">
        <f>IF(Data!$S$3&lt;Engine!M$1,0,Data!G56)</f>
        <v>Eels</v>
      </c>
      <c r="N55" s="2" t="str">
        <f>IF(Data!$S$3&lt;Engine!N$1,0,Data!H56)</f>
        <v>Roosters</v>
      </c>
      <c r="O55" s="2" t="str">
        <f>IF(Data!$S$3&lt;Engine!O$1,0,Data!I56)</f>
        <v>Warriors</v>
      </c>
      <c r="P55" s="2" t="str">
        <f>IF(Data!$S$3&lt;Engine!P$1,0,Data!J56)</f>
        <v>Dragons</v>
      </c>
      <c r="Q55" s="17" t="str">
        <f>IF(Data!B56=1,Data!K56,"No Tips")</f>
        <v>Storm</v>
      </c>
      <c r="R55" s="2">
        <f>Data!L56</f>
        <v>42</v>
      </c>
      <c r="S55" s="2">
        <f>Data!M56</f>
        <v>1469</v>
      </c>
      <c r="T55" s="15">
        <f>IF(I55="","",COUNTIF('Live Ladder'!P:P,I55)+COUNTIF('Live Ladder'!P:P,J55)+COUNTIF('Live Ladder'!P:P,K55)+COUNTIF('Live Ladder'!P:P,L55)+COUNTIF('Live Ladder'!P:P,M55)+COUNTIF('Live Ladder'!P:P,N55)+COUNTIF('Live Ladder'!P:P,O55)+COUNTIF('Live Ladder'!P:P,P55))</f>
        <v>1</v>
      </c>
      <c r="U55" s="15">
        <f>IF(I55="","",IF(COUNTIF('Live Ladder'!P:P,Engine!Q55)=1,2,IF(COUNTIF('Live Ladder'!Q:Q,Engine!Q55)=1,-2,0)))</f>
        <v>0</v>
      </c>
      <c r="V55" s="15">
        <f>IF(I55="","",IF(T55=Data!S$3,2,0))</f>
        <v>0</v>
      </c>
      <c r="W55" s="15">
        <f t="shared" si="11"/>
        <v>1</v>
      </c>
      <c r="X55" s="15">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34</v>
      </c>
      <c r="Y55">
        <f t="shared" si="17"/>
        <v>43</v>
      </c>
      <c r="Z55">
        <f t="shared" si="12"/>
        <v>1503</v>
      </c>
      <c r="AA55" s="161">
        <f t="shared" si="13"/>
        <v>43.015030040000006</v>
      </c>
      <c r="AB55">
        <f t="shared" si="1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34</v>
      </c>
      <c r="AF55">
        <f>IF(I55="","",IF(Q55="",0,IF(AND(Q55&gt;0,COUNTIF('Stats Calculator'!$T$24:$AA$24,Q55)=1),HLOOKUP(Q55,'Stats Calculator'!$T$24:$AA$27,4,FALSE),IF(AND(Q55&gt;0,COUNTIF('Stats Calculator'!$T$25:$AA$25,Q55)=1),HLOOKUP(Q55,'Stats Calculator'!$T$25:$AA$27,3,FALSE)))))</f>
        <v>2</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2</v>
      </c>
      <c r="AL55">
        <f t="shared" si="14"/>
        <v>12</v>
      </c>
    </row>
    <row r="56" spans="1:38" x14ac:dyDescent="0.3">
      <c r="A56">
        <v>55</v>
      </c>
      <c r="B56">
        <f t="shared" si="18"/>
        <v>26</v>
      </c>
      <c r="C56" s="161">
        <f t="shared" si="8"/>
        <v>49.015100038999996</v>
      </c>
      <c r="D56">
        <f t="shared" si="19"/>
        <v>26</v>
      </c>
      <c r="E56" s="4" t="str">
        <f t="shared" si="9"/>
        <v>u</v>
      </c>
      <c r="F56" t="str">
        <f t="shared" si="10"/>
        <v/>
      </c>
      <c r="G56">
        <v>39</v>
      </c>
      <c r="H56" t="str">
        <f>Data!A57</f>
        <v>Rossco the Pom</v>
      </c>
      <c r="I56" s="2" t="str">
        <f>Data!C57</f>
        <v>Rabbitohs</v>
      </c>
      <c r="J56" s="2" t="str">
        <f>Data!D57</f>
        <v>Storm</v>
      </c>
      <c r="K56" s="2" t="str">
        <f>Data!E57</f>
        <v>Titans</v>
      </c>
      <c r="L56" s="2" t="str">
        <f>IF(Data!$S$3&lt;Engine!L$1,0,Data!F57)</f>
        <v>Panthers</v>
      </c>
      <c r="M56" s="2" t="str">
        <f>IF(Data!$S$3&lt;Engine!M$1,0,Data!G57)</f>
        <v>Eels</v>
      </c>
      <c r="N56" s="2" t="str">
        <f>IF(Data!$S$3&lt;Engine!N$1,0,Data!H57)</f>
        <v>Roosters</v>
      </c>
      <c r="O56" s="2" t="str">
        <f>IF(Data!$S$3&lt;Engine!O$1,0,Data!I57)</f>
        <v>Cowboys</v>
      </c>
      <c r="P56" s="2" t="str">
        <f>IF(Data!$S$3&lt;Engine!P$1,0,Data!J57)</f>
        <v>Dragons</v>
      </c>
      <c r="Q56" s="17" t="str">
        <f>IF(Data!B57=1,Data!K57,"No Tips")</f>
        <v>Eels</v>
      </c>
      <c r="R56" s="2">
        <f>Data!L57</f>
        <v>49</v>
      </c>
      <c r="S56" s="2">
        <f>Data!M57</f>
        <v>1510</v>
      </c>
      <c r="T56" s="15">
        <f>IF(I56="","",COUNTIF('Live Ladder'!P:P,I56)+COUNTIF('Live Ladder'!P:P,J56)+COUNTIF('Live Ladder'!P:P,K56)+COUNTIF('Live Ladder'!P:P,L56)+COUNTIF('Live Ladder'!P:P,M56)+COUNTIF('Live Ladder'!P:P,N56)+COUNTIF('Live Ladder'!P:P,O56)+COUNTIF('Live Ladder'!P:P,P56))</f>
        <v>1</v>
      </c>
      <c r="U56" s="15">
        <f>IF(I56="","",IF(COUNTIF('Live Ladder'!P:P,Engine!Q56)=1,2,IF(COUNTIF('Live Ladder'!Q:Q,Engine!Q56)=1,-2,0)))</f>
        <v>0</v>
      </c>
      <c r="V56" s="15">
        <f>IF(I56="","",IF(T56=Data!S$3,2,0))</f>
        <v>0</v>
      </c>
      <c r="W56" s="15">
        <f t="shared" si="11"/>
        <v>1</v>
      </c>
      <c r="X56" s="15">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34</v>
      </c>
      <c r="Y56">
        <f t="shared" si="17"/>
        <v>50</v>
      </c>
      <c r="Z56">
        <f t="shared" si="12"/>
        <v>1544</v>
      </c>
      <c r="AA56" s="161">
        <f t="shared" si="13"/>
        <v>50.015440038999998</v>
      </c>
      <c r="AB56">
        <f t="shared" si="16"/>
        <v>1</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34</v>
      </c>
      <c r="AF56">
        <f>IF(I56="","",IF(Q56="",0,IF(AND(Q56&gt;0,COUNTIF('Stats Calculator'!$T$24:$AA$24,Q56)=1),HLOOKUP(Q56,'Stats Calculator'!$T$24:$AA$27,4,FALSE),IF(AND(Q56&gt;0,COUNTIF('Stats Calculator'!$T$25:$AA$25,Q56)=1),HLOOKUP(Q56,'Stats Calculator'!$T$25:$AA$27,3,FALSE)))))</f>
        <v>5</v>
      </c>
      <c r="AG56">
        <f>IF(I56="","",COUNTIF(I56,'Stats Calculator'!E$31)+COUNTIF(J56,'Stats Calculator'!E$32)+COUNTIF(K56,'Stats Calculator'!E$33)+COUNTIF(L56,'Stats Calculator'!E$34)+COUNTIF(M56,'Stats Calculator'!E$35)+COUNTIF(N56,'Stats Calculator'!E$36)+COUNTIF(O56,'Stats Calculator'!E$37)+COUNTIF(P56,'Stats Calculator'!E$38)-8+Data!S$3)</f>
        <v>1</v>
      </c>
      <c r="AH56">
        <f>IF(I56="","",IF(Q56="",0,IF(Q56=0,0,IF(VLOOKUP(Engine!AF56,'Stats Calculator'!B$31:E$38,4,FALSE)="",0,IF(VLOOKUP(Engine!AF56,'Stats Calculator'!B$31:E$38,4,FALSE)=Q56,2,-2)))))</f>
        <v>0</v>
      </c>
      <c r="AI56">
        <f>IF(I56="","",Data!S$3-COUNTA('Stats Calculator'!E$31:E$38))</f>
        <v>7</v>
      </c>
      <c r="AJ56">
        <f>IF(I56="","",IF(AF56=0,0,IF(VLOOKUP(AF56,'Stats Calculator'!B$31:E$38,4,FALSE)&gt;0,0,2)))</f>
        <v>2</v>
      </c>
      <c r="AK56">
        <f>IF(I56="","",IF(Data!S$3-Engine!AI56=AG56,2,0))</f>
        <v>2</v>
      </c>
      <c r="AL56">
        <f t="shared" si="14"/>
        <v>12</v>
      </c>
    </row>
    <row r="57" spans="1:38" x14ac:dyDescent="0.3">
      <c r="A57">
        <v>56</v>
      </c>
      <c r="B57">
        <f t="shared" si="18"/>
        <v>44</v>
      </c>
      <c r="C57" s="161">
        <f t="shared" si="8"/>
        <v>47.014450038</v>
      </c>
      <c r="D57">
        <f t="shared" si="19"/>
        <v>42</v>
      </c>
      <c r="E57" s="4" t="str">
        <f t="shared" si="9"/>
        <v>p</v>
      </c>
      <c r="F57">
        <f t="shared" si="10"/>
        <v>2</v>
      </c>
      <c r="G57">
        <v>38</v>
      </c>
      <c r="H57" t="str">
        <f>Data!A58</f>
        <v>Runner</v>
      </c>
      <c r="I57" s="2" t="str">
        <f>Data!C58</f>
        <v>Rabbitohs</v>
      </c>
      <c r="J57" s="2" t="str">
        <f>Data!D58</f>
        <v>Storm</v>
      </c>
      <c r="K57" s="2" t="str">
        <f>Data!E58</f>
        <v>Titans</v>
      </c>
      <c r="L57" s="2" t="str">
        <f>IF(Data!$S$3&lt;Engine!L$1,0,Data!F58)</f>
        <v>Panthers</v>
      </c>
      <c r="M57" s="2" t="str">
        <f>IF(Data!$S$3&lt;Engine!M$1,0,Data!G58)</f>
        <v>Eels</v>
      </c>
      <c r="N57" s="2" t="str">
        <f>IF(Data!$S$3&lt;Engine!N$1,0,Data!H58)</f>
        <v>Knights</v>
      </c>
      <c r="O57" s="2" t="str">
        <f>IF(Data!$S$3&lt;Engine!O$1,0,Data!I58)</f>
        <v>Warriors</v>
      </c>
      <c r="P57" s="2" t="str">
        <f>IF(Data!$S$3&lt;Engine!P$1,0,Data!J58)</f>
        <v>Wests Tigers</v>
      </c>
      <c r="Q57" s="17" t="str">
        <f>IF(Data!B58=1,Data!K58,"No Tips")</f>
        <v>Eels</v>
      </c>
      <c r="R57" s="2">
        <f>Data!L58</f>
        <v>47</v>
      </c>
      <c r="S57" s="2">
        <f>Data!M58</f>
        <v>1445</v>
      </c>
      <c r="T57" s="15">
        <f>IF(I57="","",COUNTIF('Live Ladder'!P:P,I57)+COUNTIF('Live Ladder'!P:P,J57)+COUNTIF('Live Ladder'!P:P,K57)+COUNTIF('Live Ladder'!P:P,L57)+COUNTIF('Live Ladder'!P:P,M57)+COUNTIF('Live Ladder'!P:P,N57)+COUNTIF('Live Ladder'!P:P,O57)+COUNTIF('Live Ladder'!P:P,P57))</f>
        <v>1</v>
      </c>
      <c r="U57" s="15">
        <f>IF(I57="","",IF(COUNTIF('Live Ladder'!P:P,Engine!Q57)=1,2,IF(COUNTIF('Live Ladder'!Q:Q,Engine!Q57)=1,-2,0)))</f>
        <v>0</v>
      </c>
      <c r="V57" s="15">
        <f>IF(I57="","",IF(T57=Data!S$3,2,0))</f>
        <v>0</v>
      </c>
      <c r="W57" s="15">
        <f t="shared" si="11"/>
        <v>1</v>
      </c>
      <c r="X57" s="15">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34</v>
      </c>
      <c r="Y57">
        <f t="shared" si="17"/>
        <v>48</v>
      </c>
      <c r="Z57">
        <f t="shared" si="12"/>
        <v>1479</v>
      </c>
      <c r="AA57" s="161">
        <f t="shared" si="13"/>
        <v>48.014790038000001</v>
      </c>
      <c r="AB57">
        <f t="shared" si="16"/>
        <v>1</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34</v>
      </c>
      <c r="AF57">
        <f>IF(I57="","",IF(Q57="",0,IF(AND(Q57&gt;0,COUNTIF('Stats Calculator'!$T$24:$AA$24,Q57)=1),HLOOKUP(Q57,'Stats Calculator'!$T$24:$AA$27,4,FALSE),IF(AND(Q57&gt;0,COUNTIF('Stats Calculator'!$T$25:$AA$25,Q57)=1),HLOOKUP(Q57,'Stats Calculator'!$T$25:$AA$27,3,FALSE)))))</f>
        <v>5</v>
      </c>
      <c r="AG57">
        <f>IF(I57="","",COUNTIF(I57,'Stats Calculator'!E$31)+COUNTIF(J57,'Stats Calculator'!E$32)+COUNTIF(K57,'Stats Calculator'!E$33)+COUNTIF(L57,'Stats Calculator'!E$34)+COUNTIF(M57,'Stats Calculator'!E$35)+COUNTIF(N57,'Stats Calculator'!E$36)+COUNTIF(O57,'Stats Calculator'!E$37)+COUNTIF(P57,'Stats Calculator'!E$38)-8+Data!S$3)</f>
        <v>1</v>
      </c>
      <c r="AH57">
        <f>IF(I57="","",IF(Q57="",0,IF(Q57=0,0,IF(VLOOKUP(Engine!AF57,'Stats Calculator'!B$31:E$38,4,FALSE)="",0,IF(VLOOKUP(Engine!AF57,'Stats Calculator'!B$31:E$38,4,FALSE)=Q57,2,-2)))))</f>
        <v>0</v>
      </c>
      <c r="AI57">
        <f>IF(I57="","",Data!S$3-COUNTA('Stats Calculator'!E$31:E$38))</f>
        <v>7</v>
      </c>
      <c r="AJ57">
        <f>IF(I57="","",IF(AF57=0,0,IF(VLOOKUP(AF57,'Stats Calculator'!B$31:E$38,4,FALSE)&gt;0,0,2)))</f>
        <v>2</v>
      </c>
      <c r="AK57">
        <f>IF(I57="","",IF(Data!S$3-Engine!AI57=AG57,2,0))</f>
        <v>2</v>
      </c>
      <c r="AL57">
        <f t="shared" si="14"/>
        <v>12</v>
      </c>
    </row>
    <row r="58" spans="1:38" x14ac:dyDescent="0.3">
      <c r="A58">
        <v>57</v>
      </c>
      <c r="B58">
        <f t="shared" si="18"/>
        <v>49</v>
      </c>
      <c r="C58" s="161">
        <f t="shared" si="8"/>
        <v>46.014730037</v>
      </c>
      <c r="D58">
        <f t="shared" si="19"/>
        <v>49</v>
      </c>
      <c r="E58" s="4" t="str">
        <f t="shared" si="9"/>
        <v>u</v>
      </c>
      <c r="F58" t="str">
        <f t="shared" si="10"/>
        <v/>
      </c>
      <c r="G58">
        <v>37</v>
      </c>
      <c r="H58" t="str">
        <f>Data!A59</f>
        <v>SCULKIN</v>
      </c>
      <c r="I58" s="2" t="str">
        <f>Data!C59</f>
        <v>Rabbitohs</v>
      </c>
      <c r="J58" s="2" t="str">
        <f>Data!D59</f>
        <v>Storm</v>
      </c>
      <c r="K58" s="2" t="str">
        <f>Data!E59</f>
        <v>Titans</v>
      </c>
      <c r="L58" s="2" t="str">
        <f>IF(Data!$S$3&lt;Engine!L$1,0,Data!F59)</f>
        <v>Panthers</v>
      </c>
      <c r="M58" s="2" t="str">
        <f>IF(Data!$S$3&lt;Engine!M$1,0,Data!G59)</f>
        <v>Eels</v>
      </c>
      <c r="N58" s="2" t="str">
        <f>IF(Data!$S$3&lt;Engine!N$1,0,Data!H59)</f>
        <v>Roosters</v>
      </c>
      <c r="O58" s="2" t="str">
        <f>IF(Data!$S$3&lt;Engine!O$1,0,Data!I59)</f>
        <v>Cowboys</v>
      </c>
      <c r="P58" s="2" t="str">
        <f>IF(Data!$S$3&lt;Engine!P$1,0,Data!J59)</f>
        <v>Dragons</v>
      </c>
      <c r="Q58" s="17" t="str">
        <f>IF(Data!B59=1,Data!K59,"No Tips")</f>
        <v>Storm</v>
      </c>
      <c r="R58" s="2">
        <f>Data!L59</f>
        <v>46</v>
      </c>
      <c r="S58" s="2">
        <f>Data!M59</f>
        <v>1473</v>
      </c>
      <c r="T58" s="15">
        <f>IF(I58="","",COUNTIF('Live Ladder'!P:P,I58)+COUNTIF('Live Ladder'!P:P,J58)+COUNTIF('Live Ladder'!P:P,K58)+COUNTIF('Live Ladder'!P:P,L58)+COUNTIF('Live Ladder'!P:P,M58)+COUNTIF('Live Ladder'!P:P,N58)+COUNTIF('Live Ladder'!P:P,O58)+COUNTIF('Live Ladder'!P:P,P58))</f>
        <v>1</v>
      </c>
      <c r="U58" s="15">
        <f>IF(I58="","",IF(COUNTIF('Live Ladder'!P:P,Engine!Q58)=1,2,IF(COUNTIF('Live Ladder'!Q:Q,Engine!Q58)=1,-2,0)))</f>
        <v>0</v>
      </c>
      <c r="V58" s="15">
        <f>IF(I58="","",IF(T58=Data!S$3,2,0))</f>
        <v>0</v>
      </c>
      <c r="W58" s="15">
        <f t="shared" si="11"/>
        <v>1</v>
      </c>
      <c r="X58" s="15">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34</v>
      </c>
      <c r="Y58">
        <f t="shared" si="17"/>
        <v>47</v>
      </c>
      <c r="Z58">
        <f t="shared" si="12"/>
        <v>1507</v>
      </c>
      <c r="AA58" s="161">
        <f t="shared" si="13"/>
        <v>47.015070037000001</v>
      </c>
      <c r="AB58">
        <f t="shared" si="16"/>
        <v>1</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34</v>
      </c>
      <c r="AF58">
        <f>IF(I58="","",IF(Q58="",0,IF(AND(Q58&gt;0,COUNTIF('Stats Calculator'!$T$24:$AA$24,Q58)=1),HLOOKUP(Q58,'Stats Calculator'!$T$24:$AA$27,4,FALSE),IF(AND(Q58&gt;0,COUNTIF('Stats Calculator'!$T$25:$AA$25,Q58)=1),HLOOKUP(Q58,'Stats Calculator'!$T$25:$AA$27,3,FALSE)))))</f>
        <v>2</v>
      </c>
      <c r="AG58">
        <f>IF(I58="","",COUNTIF(I58,'Stats Calculator'!E$31)+COUNTIF(J58,'Stats Calculator'!E$32)+COUNTIF(K58,'Stats Calculator'!E$33)+COUNTIF(L58,'Stats Calculator'!E$34)+COUNTIF(M58,'Stats Calculator'!E$35)+COUNTIF(N58,'Stats Calculator'!E$36)+COUNTIF(O58,'Stats Calculator'!E$37)+COUNTIF(P58,'Stats Calculator'!E$38)-8+Data!S$3)</f>
        <v>1</v>
      </c>
      <c r="AH58">
        <f>IF(I58="","",IF(Q58="",0,IF(Q58=0,0,IF(VLOOKUP(Engine!AF58,'Stats Calculator'!B$31:E$38,4,FALSE)="",0,IF(VLOOKUP(Engine!AF58,'Stats Calculator'!B$31:E$38,4,FALSE)=Q58,2,-2)))))</f>
        <v>0</v>
      </c>
      <c r="AI58">
        <f>IF(I58="","",Data!S$3-COUNTA('Stats Calculator'!E$31:E$38))</f>
        <v>7</v>
      </c>
      <c r="AJ58">
        <f>IF(I58="","",IF(AF58=0,0,IF(VLOOKUP(AF58,'Stats Calculator'!B$31:E$38,4,FALSE)&gt;0,0,2)))</f>
        <v>2</v>
      </c>
      <c r="AK58">
        <f>IF(I58="","",IF(Data!S$3-Engine!AI58=AG58,2,0))</f>
        <v>2</v>
      </c>
      <c r="AL58">
        <f t="shared" si="14"/>
        <v>12</v>
      </c>
    </row>
    <row r="59" spans="1:38" x14ac:dyDescent="0.3">
      <c r="A59">
        <v>58</v>
      </c>
      <c r="B59">
        <f t="shared" si="18"/>
        <v>34</v>
      </c>
      <c r="C59" s="161">
        <f t="shared" si="8"/>
        <v>48.015050036000005</v>
      </c>
      <c r="D59">
        <f t="shared" si="19"/>
        <v>33</v>
      </c>
      <c r="E59" s="4" t="str">
        <f t="shared" si="9"/>
        <v>p</v>
      </c>
      <c r="F59">
        <f t="shared" si="10"/>
        <v>1</v>
      </c>
      <c r="G59">
        <v>36</v>
      </c>
      <c r="H59" t="str">
        <f>Data!A60</f>
        <v>Seano</v>
      </c>
      <c r="I59" s="2" t="str">
        <f>Data!C60</f>
        <v>Rabbitohs</v>
      </c>
      <c r="J59" s="2" t="str">
        <f>Data!D60</f>
        <v>Storm</v>
      </c>
      <c r="K59" s="2" t="str">
        <f>Data!E60</f>
        <v>Titans</v>
      </c>
      <c r="L59" s="2" t="str">
        <f>IF(Data!$S$3&lt;Engine!L$1,0,Data!F60)</f>
        <v>Panthers</v>
      </c>
      <c r="M59" s="2" t="str">
        <f>IF(Data!$S$3&lt;Engine!M$1,0,Data!G60)</f>
        <v>Eels</v>
      </c>
      <c r="N59" s="2" t="str">
        <f>IF(Data!$S$3&lt;Engine!N$1,0,Data!H60)</f>
        <v>Roosters</v>
      </c>
      <c r="O59" s="2" t="str">
        <f>IF(Data!$S$3&lt;Engine!O$1,0,Data!I60)</f>
        <v>Warriors</v>
      </c>
      <c r="P59" s="2" t="str">
        <f>IF(Data!$S$3&lt;Engine!P$1,0,Data!J60)</f>
        <v>Dragons</v>
      </c>
      <c r="Q59" s="17" t="str">
        <f>IF(Data!B60=1,Data!K60,"No Tips")</f>
        <v>Eels</v>
      </c>
      <c r="R59" s="2">
        <f>Data!L60</f>
        <v>48</v>
      </c>
      <c r="S59" s="2">
        <f>Data!M60</f>
        <v>1505</v>
      </c>
      <c r="T59" s="15">
        <f>IF(I59="","",COUNTIF('Live Ladder'!P:P,I59)+COUNTIF('Live Ladder'!P:P,J59)+COUNTIF('Live Ladder'!P:P,K59)+COUNTIF('Live Ladder'!P:P,L59)+COUNTIF('Live Ladder'!P:P,M59)+COUNTIF('Live Ladder'!P:P,N59)+COUNTIF('Live Ladder'!P:P,O59)+COUNTIF('Live Ladder'!P:P,P59))</f>
        <v>1</v>
      </c>
      <c r="U59" s="15">
        <f>IF(I59="","",IF(COUNTIF('Live Ladder'!P:P,Engine!Q59)=1,2,IF(COUNTIF('Live Ladder'!Q:Q,Engine!Q59)=1,-2,0)))</f>
        <v>0</v>
      </c>
      <c r="V59" s="15">
        <f>IF(I59="","",IF(T59=Data!S$3,2,0))</f>
        <v>0</v>
      </c>
      <c r="W59" s="15">
        <f t="shared" si="11"/>
        <v>1</v>
      </c>
      <c r="X59" s="15">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34</v>
      </c>
      <c r="Y59">
        <f t="shared" si="17"/>
        <v>49</v>
      </c>
      <c r="Z59">
        <f t="shared" si="12"/>
        <v>1539</v>
      </c>
      <c r="AA59" s="161">
        <f t="shared" si="13"/>
        <v>49.015390035999999</v>
      </c>
      <c r="AB59">
        <f t="shared" si="16"/>
        <v>1</v>
      </c>
      <c r="AC59">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34</v>
      </c>
      <c r="AF59">
        <f>IF(I59="","",IF(Q59="",0,IF(AND(Q59&gt;0,COUNTIF('Stats Calculator'!$T$24:$AA$24,Q59)=1),HLOOKUP(Q59,'Stats Calculator'!$T$24:$AA$27,4,FALSE),IF(AND(Q59&gt;0,COUNTIF('Stats Calculator'!$T$25:$AA$25,Q59)=1),HLOOKUP(Q59,'Stats Calculator'!$T$25:$AA$27,3,FALSE)))))</f>
        <v>5</v>
      </c>
      <c r="AG59">
        <f>IF(I59="","",COUNTIF(I59,'Stats Calculator'!E$31)+COUNTIF(J59,'Stats Calculator'!E$32)+COUNTIF(K59,'Stats Calculator'!E$33)+COUNTIF(L59,'Stats Calculator'!E$34)+COUNTIF(M59,'Stats Calculator'!E$35)+COUNTIF(N59,'Stats Calculator'!E$36)+COUNTIF(O59,'Stats Calculator'!E$37)+COUNTIF(P59,'Stats Calculator'!E$38)-8+Data!S$3)</f>
        <v>1</v>
      </c>
      <c r="AH59">
        <f>IF(I59="","",IF(Q59="",0,IF(Q59=0,0,IF(VLOOKUP(Engine!AF59,'Stats Calculator'!B$31:E$38,4,FALSE)="",0,IF(VLOOKUP(Engine!AF59,'Stats Calculator'!B$31:E$38,4,FALSE)=Q59,2,-2)))))</f>
        <v>0</v>
      </c>
      <c r="AI59">
        <f>IF(I59="","",Data!S$3-COUNTA('Stats Calculator'!E$31:E$38))</f>
        <v>7</v>
      </c>
      <c r="AJ59">
        <f>IF(I59="","",IF(AF59=0,0,IF(VLOOKUP(AF59,'Stats Calculator'!B$31:E$38,4,FALSE)&gt;0,0,2)))</f>
        <v>2</v>
      </c>
      <c r="AK59">
        <f>IF(I59="","",IF(Data!S$3-Engine!AI59=AG59,2,0))</f>
        <v>2</v>
      </c>
      <c r="AL59">
        <f t="shared" si="14"/>
        <v>12</v>
      </c>
    </row>
    <row r="60" spans="1:38" x14ac:dyDescent="0.3">
      <c r="A60">
        <v>59</v>
      </c>
      <c r="B60">
        <f t="shared" si="18"/>
        <v>27</v>
      </c>
      <c r="C60" s="161">
        <f t="shared" si="8"/>
        <v>49.014980035000001</v>
      </c>
      <c r="D60">
        <f t="shared" si="19"/>
        <v>27</v>
      </c>
      <c r="E60" s="4" t="str">
        <f t="shared" si="9"/>
        <v>u</v>
      </c>
      <c r="F60" t="str">
        <f t="shared" si="10"/>
        <v/>
      </c>
      <c r="G60">
        <v>35</v>
      </c>
      <c r="H60" t="str">
        <f>Data!A61</f>
        <v>Shagger</v>
      </c>
      <c r="I60" s="2" t="str">
        <f>Data!C61</f>
        <v>Rabbitohs</v>
      </c>
      <c r="J60" s="2" t="str">
        <f>Data!D61</f>
        <v>Storm</v>
      </c>
      <c r="K60" s="2" t="str">
        <f>Data!E61</f>
        <v>Broncos</v>
      </c>
      <c r="L60" s="2" t="str">
        <f>IF(Data!$S$3&lt;Engine!L$1,0,Data!F61)</f>
        <v>Panthers</v>
      </c>
      <c r="M60" s="2" t="str">
        <f>IF(Data!$S$3&lt;Engine!M$1,0,Data!G61)</f>
        <v>Eels</v>
      </c>
      <c r="N60" s="2" t="str">
        <f>IF(Data!$S$3&lt;Engine!N$1,0,Data!H61)</f>
        <v>Roosters</v>
      </c>
      <c r="O60" s="2" t="str">
        <f>IF(Data!$S$3&lt;Engine!O$1,0,Data!I61)</f>
        <v>Warriors</v>
      </c>
      <c r="P60" s="2" t="str">
        <f>IF(Data!$S$3&lt;Engine!P$1,0,Data!J61)</f>
        <v>Dragons</v>
      </c>
      <c r="Q60" s="17" t="str">
        <f>IF(Data!B61=1,Data!K61,"No Tips")</f>
        <v>Panthers</v>
      </c>
      <c r="R60" s="2">
        <f>Data!L61</f>
        <v>49</v>
      </c>
      <c r="S60" s="2">
        <f>Data!M61</f>
        <v>1498</v>
      </c>
      <c r="T60" s="15">
        <f>IF(I60="","",COUNTIF('Live Ladder'!P:P,I60)+COUNTIF('Live Ladder'!P:P,J60)+COUNTIF('Live Ladder'!P:P,K60)+COUNTIF('Live Ladder'!P:P,L60)+COUNTIF('Live Ladder'!P:P,M60)+COUNTIF('Live Ladder'!P:P,N60)+COUNTIF('Live Ladder'!P:P,O60)+COUNTIF('Live Ladder'!P:P,P60))</f>
        <v>1</v>
      </c>
      <c r="U60" s="15">
        <f>IF(I60="","",IF(COUNTIF('Live Ladder'!P:P,Engine!Q60)=1,2,IF(COUNTIF('Live Ladder'!Q:Q,Engine!Q60)=1,-2,0)))</f>
        <v>0</v>
      </c>
      <c r="V60" s="15">
        <f>IF(I60="","",IF(T60=Data!S$3,2,0))</f>
        <v>0</v>
      </c>
      <c r="W60" s="15">
        <f t="shared" si="11"/>
        <v>1</v>
      </c>
      <c r="X60" s="15">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34</v>
      </c>
      <c r="Y60">
        <f t="shared" si="17"/>
        <v>50</v>
      </c>
      <c r="Z60">
        <f t="shared" si="12"/>
        <v>1532</v>
      </c>
      <c r="AA60" s="161">
        <f t="shared" si="13"/>
        <v>50.015320035000002</v>
      </c>
      <c r="AB60">
        <f t="shared" si="16"/>
        <v>1</v>
      </c>
      <c r="AC60">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34</v>
      </c>
      <c r="AF60">
        <f>IF(I60="","",IF(Q60="",0,IF(AND(Q60&gt;0,COUNTIF('Stats Calculator'!$T$24:$AA$24,Q60)=1),HLOOKUP(Q60,'Stats Calculator'!$T$24:$AA$27,4,FALSE),IF(AND(Q60&gt;0,COUNTIF('Stats Calculator'!$T$25:$AA$25,Q60)=1),HLOOKUP(Q60,'Stats Calculator'!$T$25:$AA$27,3,FALSE)))))</f>
        <v>4</v>
      </c>
      <c r="AG60">
        <f>IF(I60="","",COUNTIF(I60,'Stats Calculator'!E$31)+COUNTIF(J60,'Stats Calculator'!E$32)+COUNTIF(K60,'Stats Calculator'!E$33)+COUNTIF(L60,'Stats Calculator'!E$34)+COUNTIF(M60,'Stats Calculator'!E$35)+COUNTIF(N60,'Stats Calculator'!E$36)+COUNTIF(O60,'Stats Calculator'!E$37)+COUNTIF(P60,'Stats Calculator'!E$38)-8+Data!S$3)</f>
        <v>1</v>
      </c>
      <c r="AH60">
        <f>IF(I60="","",IF(Q60="",0,IF(Q60=0,0,IF(VLOOKUP(Engine!AF60,'Stats Calculator'!B$31:E$38,4,FALSE)="",0,IF(VLOOKUP(Engine!AF60,'Stats Calculator'!B$31:E$38,4,FALSE)=Q60,2,-2)))))</f>
        <v>0</v>
      </c>
      <c r="AI60">
        <f>IF(I60="","",Data!S$3-COUNTA('Stats Calculator'!E$31:E$38))</f>
        <v>7</v>
      </c>
      <c r="AJ60">
        <f>IF(I60="","",IF(AF60=0,0,IF(VLOOKUP(AF60,'Stats Calculator'!B$31:E$38,4,FALSE)&gt;0,0,2)))</f>
        <v>2</v>
      </c>
      <c r="AK60">
        <f>IF(I60="","",IF(Data!S$3-Engine!AI60=AG60,2,0))</f>
        <v>2</v>
      </c>
      <c r="AL60">
        <f t="shared" si="14"/>
        <v>12</v>
      </c>
    </row>
    <row r="61" spans="1:38" x14ac:dyDescent="0.3">
      <c r="A61">
        <v>60</v>
      </c>
      <c r="B61">
        <f t="shared" si="18"/>
        <v>64</v>
      </c>
      <c r="C61" s="161">
        <f t="shared" si="8"/>
        <v>39.014330034000004</v>
      </c>
      <c r="D61">
        <f t="shared" si="19"/>
        <v>64</v>
      </c>
      <c r="E61" s="4" t="str">
        <f t="shared" si="9"/>
        <v>u</v>
      </c>
      <c r="F61" t="str">
        <f t="shared" si="10"/>
        <v/>
      </c>
      <c r="G61">
        <v>34</v>
      </c>
      <c r="H61" t="str">
        <f>Data!A62</f>
        <v>sharkies.fan</v>
      </c>
      <c r="I61" s="2" t="str">
        <f>Data!C62</f>
        <v>Rabbitohs</v>
      </c>
      <c r="J61" s="2" t="str">
        <f>Data!D62</f>
        <v>Sharks</v>
      </c>
      <c r="K61" s="2" t="str">
        <f>Data!E62</f>
        <v>Titans</v>
      </c>
      <c r="L61" s="2" t="str">
        <f>IF(Data!$S$3&lt;Engine!L$1,0,Data!F62)</f>
        <v>Panthers</v>
      </c>
      <c r="M61" s="2" t="str">
        <f>IF(Data!$S$3&lt;Engine!M$1,0,Data!G62)</f>
        <v>Eels</v>
      </c>
      <c r="N61" s="2" t="str">
        <f>IF(Data!$S$3&lt;Engine!N$1,0,Data!H62)</f>
        <v>Roosters</v>
      </c>
      <c r="O61" s="2" t="str">
        <f>IF(Data!$S$3&lt;Engine!O$1,0,Data!I62)</f>
        <v>Warriors</v>
      </c>
      <c r="P61" s="2" t="str">
        <f>IF(Data!$S$3&lt;Engine!P$1,0,Data!J62)</f>
        <v>Dragons</v>
      </c>
      <c r="Q61" s="17" t="str">
        <f>IF(Data!B62=1,Data!K62,"No Tips")</f>
        <v>Eels</v>
      </c>
      <c r="R61" s="2">
        <f>Data!L62</f>
        <v>39</v>
      </c>
      <c r="S61" s="2">
        <f>Data!M62</f>
        <v>1433</v>
      </c>
      <c r="T61" s="15">
        <f>IF(I61="","",COUNTIF('Live Ladder'!P:P,I61)+COUNTIF('Live Ladder'!P:P,J61)+COUNTIF('Live Ladder'!P:P,K61)+COUNTIF('Live Ladder'!P:P,L61)+COUNTIF('Live Ladder'!P:P,M61)+COUNTIF('Live Ladder'!P:P,N61)+COUNTIF('Live Ladder'!P:P,O61)+COUNTIF('Live Ladder'!P:P,P61))</f>
        <v>1</v>
      </c>
      <c r="U61" s="15">
        <f>IF(I61="","",IF(COUNTIF('Live Ladder'!P:P,Engine!Q61)=1,2,IF(COUNTIF('Live Ladder'!Q:Q,Engine!Q61)=1,-2,0)))</f>
        <v>0</v>
      </c>
      <c r="V61" s="15">
        <f>IF(I61="","",IF(T61=Data!S$3,2,0))</f>
        <v>0</v>
      </c>
      <c r="W61" s="15">
        <f t="shared" si="11"/>
        <v>1</v>
      </c>
      <c r="X61" s="15">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34</v>
      </c>
      <c r="Y61">
        <f t="shared" si="17"/>
        <v>40</v>
      </c>
      <c r="Z61">
        <f t="shared" si="12"/>
        <v>1467</v>
      </c>
      <c r="AA61" s="161">
        <f t="shared" si="13"/>
        <v>40.014670034000005</v>
      </c>
      <c r="AB61">
        <f t="shared" si="16"/>
        <v>1</v>
      </c>
      <c r="AC61">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34</v>
      </c>
      <c r="AF61">
        <f>IF(I61="","",IF(Q61="",0,IF(AND(Q61&gt;0,COUNTIF('Stats Calculator'!$T$24:$AA$24,Q61)=1),HLOOKUP(Q61,'Stats Calculator'!$T$24:$AA$27,4,FALSE),IF(AND(Q61&gt;0,COUNTIF('Stats Calculator'!$T$25:$AA$25,Q61)=1),HLOOKUP(Q61,'Stats Calculator'!$T$25:$AA$27,3,FALSE)))))</f>
        <v>5</v>
      </c>
      <c r="AG61">
        <f>IF(I61="","",COUNTIF(I61,'Stats Calculator'!E$31)+COUNTIF(J61,'Stats Calculator'!E$32)+COUNTIF(K61,'Stats Calculator'!E$33)+COUNTIF(L61,'Stats Calculator'!E$34)+COUNTIF(M61,'Stats Calculator'!E$35)+COUNTIF(N61,'Stats Calculator'!E$36)+COUNTIF(O61,'Stats Calculator'!E$37)+COUNTIF(P61,'Stats Calculator'!E$38)-8+Data!S$3)</f>
        <v>1</v>
      </c>
      <c r="AH61">
        <f>IF(I61="","",IF(Q61="",0,IF(Q61=0,0,IF(VLOOKUP(Engine!AF61,'Stats Calculator'!B$31:E$38,4,FALSE)="",0,IF(VLOOKUP(Engine!AF61,'Stats Calculator'!B$31:E$38,4,FALSE)=Q61,2,-2)))))</f>
        <v>0</v>
      </c>
      <c r="AI61">
        <f>IF(I61="","",Data!S$3-COUNTA('Stats Calculator'!E$31:E$38))</f>
        <v>7</v>
      </c>
      <c r="AJ61">
        <f>IF(I61="","",IF(AF61=0,0,IF(VLOOKUP(AF61,'Stats Calculator'!B$31:E$38,4,FALSE)&gt;0,0,2)))</f>
        <v>2</v>
      </c>
      <c r="AK61">
        <f>IF(I61="","",IF(Data!S$3-Engine!AI61=AG61,2,0))</f>
        <v>2</v>
      </c>
      <c r="AL61">
        <f t="shared" si="14"/>
        <v>12</v>
      </c>
    </row>
    <row r="62" spans="1:38" x14ac:dyDescent="0.3">
      <c r="A62">
        <v>61</v>
      </c>
      <c r="B62">
        <f t="shared" si="18"/>
        <v>48</v>
      </c>
      <c r="C62" s="161">
        <f t="shared" si="8"/>
        <v>46.014740033000002</v>
      </c>
      <c r="D62">
        <f t="shared" si="19"/>
        <v>48</v>
      </c>
      <c r="E62" s="4" t="str">
        <f t="shared" si="9"/>
        <v>u</v>
      </c>
      <c r="F62" t="str">
        <f t="shared" si="10"/>
        <v/>
      </c>
      <c r="G62">
        <v>33</v>
      </c>
      <c r="H62" t="str">
        <f>Data!A63</f>
        <v>SMOG</v>
      </c>
      <c r="I62" s="2" t="str">
        <f>Data!C63</f>
        <v>Rabbitohs</v>
      </c>
      <c r="J62" s="2" t="str">
        <f>Data!D63</f>
        <v>Storm</v>
      </c>
      <c r="K62" s="2" t="str">
        <f>Data!E63</f>
        <v>Titans</v>
      </c>
      <c r="L62" s="2" t="str">
        <f>IF(Data!$S$3&lt;Engine!L$1,0,Data!F63)</f>
        <v>Panthers</v>
      </c>
      <c r="M62" s="2" t="str">
        <f>IF(Data!$S$3&lt;Engine!M$1,0,Data!G63)</f>
        <v>Eels</v>
      </c>
      <c r="N62" s="2" t="str">
        <f>IF(Data!$S$3&lt;Engine!N$1,0,Data!H63)</f>
        <v>Knights</v>
      </c>
      <c r="O62" s="2" t="str">
        <f>IF(Data!$S$3&lt;Engine!O$1,0,Data!I63)</f>
        <v>Cowboys</v>
      </c>
      <c r="P62" s="2" t="str">
        <f>IF(Data!$S$3&lt;Engine!P$1,0,Data!J63)</f>
        <v>Dragons</v>
      </c>
      <c r="Q62" s="17" t="str">
        <f>IF(Data!B63=1,Data!K63,"No Tips")</f>
        <v>Eels</v>
      </c>
      <c r="R62" s="2">
        <f>Data!L63</f>
        <v>46</v>
      </c>
      <c r="S62" s="2">
        <f>Data!M63</f>
        <v>1474</v>
      </c>
      <c r="T62" s="15">
        <f>IF(I62="","",COUNTIF('Live Ladder'!P:P,I62)+COUNTIF('Live Ladder'!P:P,J62)+COUNTIF('Live Ladder'!P:P,K62)+COUNTIF('Live Ladder'!P:P,L62)+COUNTIF('Live Ladder'!P:P,M62)+COUNTIF('Live Ladder'!P:P,N62)+COUNTIF('Live Ladder'!P:P,O62)+COUNTIF('Live Ladder'!P:P,P62))</f>
        <v>1</v>
      </c>
      <c r="U62" s="15">
        <f>IF(I62="","",IF(COUNTIF('Live Ladder'!P:P,Engine!Q62)=1,2,IF(COUNTIF('Live Ladder'!Q:Q,Engine!Q62)=1,-2,0)))</f>
        <v>0</v>
      </c>
      <c r="V62" s="15">
        <f>IF(I62="","",IF(T62=Data!S$3,2,0))</f>
        <v>0</v>
      </c>
      <c r="W62" s="15">
        <f t="shared" si="11"/>
        <v>1</v>
      </c>
      <c r="X62" s="15">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34</v>
      </c>
      <c r="Y62">
        <f t="shared" si="17"/>
        <v>47</v>
      </c>
      <c r="Z62">
        <f t="shared" si="12"/>
        <v>1508</v>
      </c>
      <c r="AA62" s="161">
        <f t="shared" si="13"/>
        <v>47.015080032999997</v>
      </c>
      <c r="AB62">
        <f t="shared" si="16"/>
        <v>1</v>
      </c>
      <c r="AC62">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34</v>
      </c>
      <c r="AF62">
        <f>IF(I62="","",IF(Q62="",0,IF(AND(Q62&gt;0,COUNTIF('Stats Calculator'!$T$24:$AA$24,Q62)=1),HLOOKUP(Q62,'Stats Calculator'!$T$24:$AA$27,4,FALSE),IF(AND(Q62&gt;0,COUNTIF('Stats Calculator'!$T$25:$AA$25,Q62)=1),HLOOKUP(Q62,'Stats Calculator'!$T$25:$AA$27,3,FALSE)))))</f>
        <v>5</v>
      </c>
      <c r="AG62">
        <f>IF(I62="","",COUNTIF(I62,'Stats Calculator'!E$31)+COUNTIF(J62,'Stats Calculator'!E$32)+COUNTIF(K62,'Stats Calculator'!E$33)+COUNTIF(L62,'Stats Calculator'!E$34)+COUNTIF(M62,'Stats Calculator'!E$35)+COUNTIF(N62,'Stats Calculator'!E$36)+COUNTIF(O62,'Stats Calculator'!E$37)+COUNTIF(P62,'Stats Calculator'!E$38)-8+Data!S$3)</f>
        <v>1</v>
      </c>
      <c r="AH62">
        <f>IF(I62="","",IF(Q62="",0,IF(Q62=0,0,IF(VLOOKUP(Engine!AF62,'Stats Calculator'!B$31:E$38,4,FALSE)="",0,IF(VLOOKUP(Engine!AF62,'Stats Calculator'!B$31:E$38,4,FALSE)=Q62,2,-2)))))</f>
        <v>0</v>
      </c>
      <c r="AI62">
        <f>IF(I62="","",Data!S$3-COUNTA('Stats Calculator'!E$31:E$38))</f>
        <v>7</v>
      </c>
      <c r="AJ62">
        <f>IF(I62="","",IF(AF62=0,0,IF(VLOOKUP(AF62,'Stats Calculator'!B$31:E$38,4,FALSE)&gt;0,0,2)))</f>
        <v>2</v>
      </c>
      <c r="AK62">
        <f>IF(I62="","",IF(Data!S$3-Engine!AI62=AG62,2,0))</f>
        <v>2</v>
      </c>
      <c r="AL62">
        <f t="shared" si="14"/>
        <v>12</v>
      </c>
    </row>
    <row r="63" spans="1:38" x14ac:dyDescent="0.3">
      <c r="A63">
        <v>62</v>
      </c>
      <c r="B63">
        <f t="shared" si="18"/>
        <v>65</v>
      </c>
      <c r="C63" s="161">
        <f t="shared" si="8"/>
        <v>39.013330032000006</v>
      </c>
      <c r="D63">
        <f t="shared" si="19"/>
        <v>65</v>
      </c>
      <c r="E63" s="4" t="str">
        <f t="shared" si="9"/>
        <v>u</v>
      </c>
      <c r="F63" t="str">
        <f t="shared" si="10"/>
        <v/>
      </c>
      <c r="G63">
        <v>32</v>
      </c>
      <c r="H63" t="str">
        <f>Data!A64</f>
        <v>Splinter</v>
      </c>
      <c r="I63" s="2" t="str">
        <f>Data!C64</f>
        <v>Rabbitohs</v>
      </c>
      <c r="J63" s="2" t="str">
        <f>Data!D64</f>
        <v>Storm</v>
      </c>
      <c r="K63" s="2" t="str">
        <f>Data!E64</f>
        <v>Broncos</v>
      </c>
      <c r="L63" s="2" t="str">
        <f>IF(Data!$S$3&lt;Engine!L$1,0,Data!F64)</f>
        <v>Panthers</v>
      </c>
      <c r="M63" s="2" t="str">
        <f>IF(Data!$S$3&lt;Engine!M$1,0,Data!G64)</f>
        <v>Eels</v>
      </c>
      <c r="N63" s="2" t="str">
        <f>IF(Data!$S$3&lt;Engine!N$1,0,Data!H64)</f>
        <v>Roosters</v>
      </c>
      <c r="O63" s="2" t="str">
        <f>IF(Data!$S$3&lt;Engine!O$1,0,Data!I64)</f>
        <v>Cowboys</v>
      </c>
      <c r="P63" s="2" t="str">
        <f>IF(Data!$S$3&lt;Engine!P$1,0,Data!J64)</f>
        <v>Dragons</v>
      </c>
      <c r="Q63" s="17" t="str">
        <f>IF(Data!B64=1,Data!K64,"No Tips")</f>
        <v>Panthers</v>
      </c>
      <c r="R63" s="2">
        <f>Data!L64</f>
        <v>39</v>
      </c>
      <c r="S63" s="2">
        <f>Data!M64</f>
        <v>1333</v>
      </c>
      <c r="T63" s="15">
        <f>IF(I63="","",COUNTIF('Live Ladder'!P:P,I63)+COUNTIF('Live Ladder'!P:P,J63)+COUNTIF('Live Ladder'!P:P,K63)+COUNTIF('Live Ladder'!P:P,L63)+COUNTIF('Live Ladder'!P:P,M63)+COUNTIF('Live Ladder'!P:P,N63)+COUNTIF('Live Ladder'!P:P,O63)+COUNTIF('Live Ladder'!P:P,P63))</f>
        <v>1</v>
      </c>
      <c r="U63" s="15">
        <f>IF(I63="","",IF(COUNTIF('Live Ladder'!P:P,Engine!Q63)=1,2,IF(COUNTIF('Live Ladder'!Q:Q,Engine!Q63)=1,-2,0)))</f>
        <v>0</v>
      </c>
      <c r="V63" s="15">
        <f>IF(I63="","",IF(T63=Data!S$3,2,0))</f>
        <v>0</v>
      </c>
      <c r="W63" s="15">
        <f t="shared" si="11"/>
        <v>1</v>
      </c>
      <c r="X63" s="15">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34</v>
      </c>
      <c r="Y63">
        <f t="shared" si="17"/>
        <v>40</v>
      </c>
      <c r="Z63">
        <f t="shared" si="12"/>
        <v>1367</v>
      </c>
      <c r="AA63" s="161">
        <f t="shared" si="13"/>
        <v>40.013670032</v>
      </c>
      <c r="AB63">
        <f t="shared" si="16"/>
        <v>1</v>
      </c>
      <c r="AC63">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34</v>
      </c>
      <c r="AF63">
        <f>IF(I63="","",IF(Q63="",0,IF(AND(Q63&gt;0,COUNTIF('Stats Calculator'!$T$24:$AA$24,Q63)=1),HLOOKUP(Q63,'Stats Calculator'!$T$24:$AA$27,4,FALSE),IF(AND(Q63&gt;0,COUNTIF('Stats Calculator'!$T$25:$AA$25,Q63)=1),HLOOKUP(Q63,'Stats Calculator'!$T$25:$AA$27,3,FALSE)))))</f>
        <v>4</v>
      </c>
      <c r="AG63">
        <f>IF(I63="","",COUNTIF(I63,'Stats Calculator'!E$31)+COUNTIF(J63,'Stats Calculator'!E$32)+COUNTIF(K63,'Stats Calculator'!E$33)+COUNTIF(L63,'Stats Calculator'!E$34)+COUNTIF(M63,'Stats Calculator'!E$35)+COUNTIF(N63,'Stats Calculator'!E$36)+COUNTIF(O63,'Stats Calculator'!E$37)+COUNTIF(P63,'Stats Calculator'!E$38)-8+Data!S$3)</f>
        <v>1</v>
      </c>
      <c r="AH63">
        <f>IF(I63="","",IF(Q63="",0,IF(Q63=0,0,IF(VLOOKUP(Engine!AF63,'Stats Calculator'!B$31:E$38,4,FALSE)="",0,IF(VLOOKUP(Engine!AF63,'Stats Calculator'!B$31:E$38,4,FALSE)=Q63,2,-2)))))</f>
        <v>0</v>
      </c>
      <c r="AI63">
        <f>IF(I63="","",Data!S$3-COUNTA('Stats Calculator'!E$31:E$38))</f>
        <v>7</v>
      </c>
      <c r="AJ63">
        <f>IF(I63="","",IF(AF63=0,0,IF(VLOOKUP(AF63,'Stats Calculator'!B$31:E$38,4,FALSE)&gt;0,0,2)))</f>
        <v>2</v>
      </c>
      <c r="AK63">
        <f>IF(I63="","",IF(Data!S$3-Engine!AI63=AG63,2,0))</f>
        <v>2</v>
      </c>
      <c r="AL63">
        <f t="shared" si="14"/>
        <v>12</v>
      </c>
    </row>
    <row r="64" spans="1:38" x14ac:dyDescent="0.3">
      <c r="A64">
        <v>63</v>
      </c>
      <c r="B64">
        <f t="shared" si="18"/>
        <v>41</v>
      </c>
      <c r="C64" s="161">
        <f t="shared" si="8"/>
        <v>47.014710031</v>
      </c>
      <c r="D64">
        <f t="shared" si="19"/>
        <v>39</v>
      </c>
      <c r="E64" s="4" t="str">
        <f t="shared" si="9"/>
        <v>p</v>
      </c>
      <c r="F64">
        <f t="shared" si="10"/>
        <v>2</v>
      </c>
      <c r="G64">
        <v>31</v>
      </c>
      <c r="H64" t="str">
        <f>Data!A65</f>
        <v>Stallion</v>
      </c>
      <c r="I64" s="2" t="str">
        <f>Data!C65</f>
        <v>Rabbitohs</v>
      </c>
      <c r="J64" s="2" t="str">
        <f>Data!D65</f>
        <v>Storm</v>
      </c>
      <c r="K64" s="2" t="str">
        <f>Data!E65</f>
        <v>Titans</v>
      </c>
      <c r="L64" s="2" t="str">
        <f>IF(Data!$S$3&lt;Engine!L$1,0,Data!F65)</f>
        <v>Panthers</v>
      </c>
      <c r="M64" s="2" t="str">
        <f>IF(Data!$S$3&lt;Engine!M$1,0,Data!G65)</f>
        <v>Eels</v>
      </c>
      <c r="N64" s="2" t="str">
        <f>IF(Data!$S$3&lt;Engine!N$1,0,Data!H65)</f>
        <v>Roosters</v>
      </c>
      <c r="O64" s="2" t="str">
        <f>IF(Data!$S$3&lt;Engine!O$1,0,Data!I65)</f>
        <v>Warriors</v>
      </c>
      <c r="P64" s="2" t="str">
        <f>IF(Data!$S$3&lt;Engine!P$1,0,Data!J65)</f>
        <v>Dragons</v>
      </c>
      <c r="Q64" s="17" t="str">
        <f>IF(Data!B65=1,Data!K65,"No Tips")</f>
        <v>Eels</v>
      </c>
      <c r="R64" s="2">
        <f>Data!L65</f>
        <v>47</v>
      </c>
      <c r="S64" s="2">
        <f>Data!M65</f>
        <v>1471</v>
      </c>
      <c r="T64" s="15">
        <f>IF(I64="","",COUNTIF('Live Ladder'!P:P,I64)+COUNTIF('Live Ladder'!P:P,J64)+COUNTIF('Live Ladder'!P:P,K64)+COUNTIF('Live Ladder'!P:P,L64)+COUNTIF('Live Ladder'!P:P,M64)+COUNTIF('Live Ladder'!P:P,N64)+COUNTIF('Live Ladder'!P:P,O64)+COUNTIF('Live Ladder'!P:P,P64))</f>
        <v>1</v>
      </c>
      <c r="U64" s="15">
        <f>IF(I64="","",IF(COUNTIF('Live Ladder'!P:P,Engine!Q64)=1,2,IF(COUNTIF('Live Ladder'!Q:Q,Engine!Q64)=1,-2,0)))</f>
        <v>0</v>
      </c>
      <c r="V64" s="15">
        <f>IF(I64="","",IF(T64=Data!S$3,2,0))</f>
        <v>0</v>
      </c>
      <c r="W64" s="15">
        <f t="shared" si="11"/>
        <v>1</v>
      </c>
      <c r="X64" s="15">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34</v>
      </c>
      <c r="Y64">
        <f t="shared" si="17"/>
        <v>48</v>
      </c>
      <c r="Z64">
        <f t="shared" si="12"/>
        <v>1505</v>
      </c>
      <c r="AA64" s="161">
        <f t="shared" si="13"/>
        <v>48.015050031000001</v>
      </c>
      <c r="AB64">
        <f t="shared" si="16"/>
        <v>1</v>
      </c>
      <c r="AC64">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34</v>
      </c>
      <c r="AF64">
        <f>IF(I64="","",IF(Q64="",0,IF(AND(Q64&gt;0,COUNTIF('Stats Calculator'!$T$24:$AA$24,Q64)=1),HLOOKUP(Q64,'Stats Calculator'!$T$24:$AA$27,4,FALSE),IF(AND(Q64&gt;0,COUNTIF('Stats Calculator'!$T$25:$AA$25,Q64)=1),HLOOKUP(Q64,'Stats Calculator'!$T$25:$AA$27,3,FALSE)))))</f>
        <v>5</v>
      </c>
      <c r="AG64">
        <f>IF(I64="","",COUNTIF(I64,'Stats Calculator'!E$31)+COUNTIF(J64,'Stats Calculator'!E$32)+COUNTIF(K64,'Stats Calculator'!E$33)+COUNTIF(L64,'Stats Calculator'!E$34)+COUNTIF(M64,'Stats Calculator'!E$35)+COUNTIF(N64,'Stats Calculator'!E$36)+COUNTIF(O64,'Stats Calculator'!E$37)+COUNTIF(P64,'Stats Calculator'!E$38)-8+Data!S$3)</f>
        <v>1</v>
      </c>
      <c r="AH64">
        <f>IF(I64="","",IF(Q64="",0,IF(Q64=0,0,IF(VLOOKUP(Engine!AF64,'Stats Calculator'!B$31:E$38,4,FALSE)="",0,IF(VLOOKUP(Engine!AF64,'Stats Calculator'!B$31:E$38,4,FALSE)=Q64,2,-2)))))</f>
        <v>0</v>
      </c>
      <c r="AI64">
        <f>IF(I64="","",Data!S$3-COUNTA('Stats Calculator'!E$31:E$38))</f>
        <v>7</v>
      </c>
      <c r="AJ64">
        <f>IF(I64="","",IF(AF64=0,0,IF(VLOOKUP(AF64,'Stats Calculator'!B$31:E$38,4,FALSE)&gt;0,0,2)))</f>
        <v>2</v>
      </c>
      <c r="AK64">
        <f>IF(I64="","",IF(Data!S$3-Engine!AI64=AG64,2,0))</f>
        <v>2</v>
      </c>
      <c r="AL64">
        <f t="shared" si="14"/>
        <v>12</v>
      </c>
    </row>
    <row r="65" spans="1:38" s="16" customFormat="1" x14ac:dyDescent="0.3">
      <c r="A65">
        <v>64</v>
      </c>
      <c r="B65">
        <f t="shared" si="18"/>
        <v>16</v>
      </c>
      <c r="C65" s="161">
        <f t="shared" si="8"/>
        <v>51.014500030000001</v>
      </c>
      <c r="D65">
        <f t="shared" si="19"/>
        <v>21</v>
      </c>
      <c r="E65" s="4" t="str">
        <f t="shared" si="9"/>
        <v>q</v>
      </c>
      <c r="F65">
        <f t="shared" si="10"/>
        <v>5</v>
      </c>
      <c r="G65">
        <v>30</v>
      </c>
      <c r="H65" t="str">
        <f>Data!A66</f>
        <v>StuartS</v>
      </c>
      <c r="I65" s="2" t="str">
        <f>Data!C66</f>
        <v>Raiders</v>
      </c>
      <c r="J65" s="2" t="str">
        <f>Data!D66</f>
        <v>Storm</v>
      </c>
      <c r="K65" s="2" t="str">
        <f>Data!E66</f>
        <v>Titans</v>
      </c>
      <c r="L65" s="2" t="str">
        <f>IF(Data!$S$3&lt;Engine!L$1,0,Data!F66)</f>
        <v>Panthers</v>
      </c>
      <c r="M65" s="2" t="str">
        <f>IF(Data!$S$3&lt;Engine!M$1,0,Data!G66)</f>
        <v>Eels</v>
      </c>
      <c r="N65" s="2" t="str">
        <f>IF(Data!$S$3&lt;Engine!N$1,0,Data!H66)</f>
        <v>Roosters</v>
      </c>
      <c r="O65" s="2" t="str">
        <f>IF(Data!$S$3&lt;Engine!O$1,0,Data!I66)</f>
        <v>Cowboys</v>
      </c>
      <c r="P65" s="2" t="str">
        <f>IF(Data!$S$3&lt;Engine!P$1,0,Data!J66)</f>
        <v>Dragons</v>
      </c>
      <c r="Q65" s="17" t="str">
        <f>IF(Data!B66=1,Data!K66,"No Tips")</f>
        <v>Storm</v>
      </c>
      <c r="R65" s="2">
        <f>Data!L66</f>
        <v>51</v>
      </c>
      <c r="S65" s="2">
        <f>Data!M66</f>
        <v>1450</v>
      </c>
      <c r="T65" s="15">
        <f>IF(I65="","",COUNTIF('Live Ladder'!P:P,I65)+COUNTIF('Live Ladder'!P:P,J65)+COUNTIF('Live Ladder'!P:P,K65)+COUNTIF('Live Ladder'!P:P,L65)+COUNTIF('Live Ladder'!P:P,M65)+COUNTIF('Live Ladder'!P:P,N65)+COUNTIF('Live Ladder'!P:P,O65)+COUNTIF('Live Ladder'!P:P,P65))</f>
        <v>0</v>
      </c>
      <c r="U65" s="15">
        <f>IF(I65="","",IF(COUNTIF('Live Ladder'!P:P,Engine!Q65)=1,2,IF(COUNTIF('Live Ladder'!Q:Q,Engine!Q65)=1,-2,0)))</f>
        <v>0</v>
      </c>
      <c r="V65" s="15">
        <f>IF(I65="","",IF(T65=Data!S$3,2,0))</f>
        <v>0</v>
      </c>
      <c r="W65" s="15">
        <f t="shared" si="11"/>
        <v>0</v>
      </c>
      <c r="X65" s="15">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20</v>
      </c>
      <c r="Y65">
        <f t="shared" si="17"/>
        <v>51</v>
      </c>
      <c r="Z65">
        <f t="shared" si="12"/>
        <v>1470</v>
      </c>
      <c r="AA65" s="161">
        <f t="shared" si="13"/>
        <v>51.01470003</v>
      </c>
      <c r="AB65">
        <f t="shared" si="16"/>
        <v>0</v>
      </c>
      <c r="AC65">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20</v>
      </c>
      <c r="AD65"/>
      <c r="AE65"/>
      <c r="AF65">
        <f>IF(I65="","",IF(Q65="",0,IF(AND(Q65&gt;0,COUNTIF('Stats Calculator'!$T$24:$AA$24,Q65)=1),HLOOKUP(Q65,'Stats Calculator'!$T$24:$AA$27,4,FALSE),IF(AND(Q65&gt;0,COUNTIF('Stats Calculator'!$T$25:$AA$25,Q65)=1),HLOOKUP(Q65,'Stats Calculator'!$T$25:$AA$27,3,FALSE)))))</f>
        <v>2</v>
      </c>
      <c r="AG65">
        <f>IF(I65="","",COUNTIF(I65,'Stats Calculator'!E$31)+COUNTIF(J65,'Stats Calculator'!E$32)+COUNTIF(K65,'Stats Calculator'!E$33)+COUNTIF(L65,'Stats Calculator'!E$34)+COUNTIF(M65,'Stats Calculator'!E$35)+COUNTIF(N65,'Stats Calculator'!E$36)+COUNTIF(O65,'Stats Calculator'!E$37)+COUNTIF(P65,'Stats Calculator'!E$38)-8+Data!S$3)</f>
        <v>0</v>
      </c>
      <c r="AH65">
        <f>IF(I65="","",IF(Q65="",0,IF(Q65=0,0,IF(VLOOKUP(Engine!AF65,'Stats Calculator'!B$31:E$38,4,FALSE)="",0,IF(VLOOKUP(Engine!AF65,'Stats Calculator'!B$31:E$38,4,FALSE)=Q65,2,-2)))))</f>
        <v>0</v>
      </c>
      <c r="AI65">
        <f>IF(I65="","",Data!S$3-COUNTA('Stats Calculator'!E$31:E$38))</f>
        <v>7</v>
      </c>
      <c r="AJ65">
        <f>IF(I65="","",IF(AF65=0,0,IF(VLOOKUP(AF65,'Stats Calculator'!B$31:E$38,4,FALSE)&gt;0,0,2)))</f>
        <v>2</v>
      </c>
      <c r="AK65">
        <f>IF(I65="","",IF(Data!S$3-Engine!AI65=AG65,2,0))</f>
        <v>0</v>
      </c>
      <c r="AL65">
        <f t="shared" si="14"/>
        <v>9</v>
      </c>
    </row>
    <row r="66" spans="1:38" x14ac:dyDescent="0.3">
      <c r="A66">
        <v>65</v>
      </c>
      <c r="B66">
        <f t="shared" ref="B66:B94" si="20">IF(H66="ZZZZZZ Suspend","",RANK(C66,C:C))</f>
        <v>30</v>
      </c>
      <c r="C66" s="161">
        <f t="shared" si="8"/>
        <v>49.014600029</v>
      </c>
      <c r="D66">
        <f t="shared" ref="D66:D94" si="21">IF(H66="ZZZZZZ Suspend","",RANK(AA66,AA:AA))</f>
        <v>36</v>
      </c>
      <c r="E66" s="4" t="str">
        <f t="shared" si="9"/>
        <v>q</v>
      </c>
      <c r="F66">
        <f t="shared" si="10"/>
        <v>6</v>
      </c>
      <c r="G66">
        <v>29</v>
      </c>
      <c r="H66" t="str">
        <f>Data!A67</f>
        <v>T-Bone</v>
      </c>
      <c r="I66" s="2" t="str">
        <f>Data!C67</f>
        <v>Raiders</v>
      </c>
      <c r="J66" s="2" t="str">
        <f>Data!D67</f>
        <v>Storm</v>
      </c>
      <c r="K66" s="2" t="str">
        <f>Data!E67</f>
        <v>Titans</v>
      </c>
      <c r="L66" s="2" t="str">
        <f>IF(Data!$S$3&lt;Engine!L$1,0,Data!F67)</f>
        <v>Panthers</v>
      </c>
      <c r="M66" s="2" t="str">
        <f>IF(Data!$S$3&lt;Engine!M$1,0,Data!G67)</f>
        <v>Eels</v>
      </c>
      <c r="N66" s="2" t="str">
        <f>IF(Data!$S$3&lt;Engine!N$1,0,Data!H67)</f>
        <v>Roosters</v>
      </c>
      <c r="O66" s="2" t="str">
        <f>IF(Data!$S$3&lt;Engine!O$1,0,Data!I67)</f>
        <v>Warriors</v>
      </c>
      <c r="P66" s="2" t="str">
        <f>IF(Data!$S$3&lt;Engine!P$1,0,Data!J67)</f>
        <v>Wests Tigers</v>
      </c>
      <c r="Q66" s="17" t="str">
        <f>IF(Data!B67=1,Data!K67,"No Tips")</f>
        <v>Storm</v>
      </c>
      <c r="R66" s="2">
        <f>Data!L67</f>
        <v>49</v>
      </c>
      <c r="S66" s="2">
        <f>Data!M67</f>
        <v>1460</v>
      </c>
      <c r="T66" s="15">
        <f>IF(I66="","",COUNTIF('Live Ladder'!P:P,I66)+COUNTIF('Live Ladder'!P:P,J66)+COUNTIF('Live Ladder'!P:P,K66)+COUNTIF('Live Ladder'!P:P,L66)+COUNTIF('Live Ladder'!P:P,M66)+COUNTIF('Live Ladder'!P:P,N66)+COUNTIF('Live Ladder'!P:P,O66)+COUNTIF('Live Ladder'!P:P,P66))</f>
        <v>0</v>
      </c>
      <c r="U66" s="15">
        <f>IF(I66="","",IF(COUNTIF('Live Ladder'!P:P,Engine!Q66)=1,2,IF(COUNTIF('Live Ladder'!Q:Q,Engine!Q66)=1,-2,0)))</f>
        <v>0</v>
      </c>
      <c r="V66" s="15">
        <f>IF(I66="","",IF(T66=Data!S$3,2,0))</f>
        <v>0</v>
      </c>
      <c r="W66" s="15">
        <f t="shared" si="11"/>
        <v>0</v>
      </c>
      <c r="X66" s="15">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20</v>
      </c>
      <c r="Y66">
        <f t="shared" si="17"/>
        <v>49</v>
      </c>
      <c r="Z66">
        <f t="shared" si="12"/>
        <v>1480</v>
      </c>
      <c r="AA66" s="161">
        <f t="shared" si="13"/>
        <v>49.014800029</v>
      </c>
      <c r="AB66">
        <f t="shared" si="16"/>
        <v>0</v>
      </c>
      <c r="AC66">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20</v>
      </c>
      <c r="AF66">
        <f>IF(I66="","",IF(Q66="",0,IF(AND(Q66&gt;0,COUNTIF('Stats Calculator'!$T$24:$AA$24,Q66)=1),HLOOKUP(Q66,'Stats Calculator'!$T$24:$AA$27,4,FALSE),IF(AND(Q66&gt;0,COUNTIF('Stats Calculator'!$T$25:$AA$25,Q66)=1),HLOOKUP(Q66,'Stats Calculator'!$T$25:$AA$27,3,FALSE)))))</f>
        <v>2</v>
      </c>
      <c r="AG66">
        <f>IF(I66="","",COUNTIF(I66,'Stats Calculator'!E$31)+COUNTIF(J66,'Stats Calculator'!E$32)+COUNTIF(K66,'Stats Calculator'!E$33)+COUNTIF(L66,'Stats Calculator'!E$34)+COUNTIF(M66,'Stats Calculator'!E$35)+COUNTIF(N66,'Stats Calculator'!E$36)+COUNTIF(O66,'Stats Calculator'!E$37)+COUNTIF(P66,'Stats Calculator'!E$38)-8+Data!S$3)</f>
        <v>0</v>
      </c>
      <c r="AH66">
        <f>IF(I66="","",IF(Q66="",0,IF(Q66=0,0,IF(VLOOKUP(Engine!AF66,'Stats Calculator'!B$31:E$38,4,FALSE)="",0,IF(VLOOKUP(Engine!AF66,'Stats Calculator'!B$31:E$38,4,FALSE)=Q66,2,-2)))))</f>
        <v>0</v>
      </c>
      <c r="AI66">
        <f>IF(I66="","",Data!S$3-COUNTA('Stats Calculator'!E$31:E$38))</f>
        <v>7</v>
      </c>
      <c r="AJ66">
        <f>IF(I66="","",IF(AF66=0,0,IF(VLOOKUP(AF66,'Stats Calculator'!B$31:E$38,4,FALSE)&gt;0,0,2)))</f>
        <v>2</v>
      </c>
      <c r="AK66">
        <f>IF(I66="","",IF(Data!S$3-Engine!AI66=AG66,2,0))</f>
        <v>0</v>
      </c>
      <c r="AL66">
        <f t="shared" si="14"/>
        <v>9</v>
      </c>
    </row>
    <row r="67" spans="1:38" x14ac:dyDescent="0.3">
      <c r="A67">
        <v>66</v>
      </c>
      <c r="B67">
        <f t="shared" si="20"/>
        <v>18</v>
      </c>
      <c r="C67" s="161">
        <f t="shared" ref="C67:C95" si="22">IF(H67="ZZZZZZ Suspend","",R67+(S67/100000)+(G67/1000000000))</f>
        <v>50.015370028</v>
      </c>
      <c r="D67">
        <f t="shared" si="21"/>
        <v>15</v>
      </c>
      <c r="E67" s="4" t="str">
        <f t="shared" ref="E67:E85" si="23">IF(H67="ZZZZZZ Suspend","",IF(D67&lt;B67,AD$3,IF(D67&gt;B67,AD$4,AD$5)))</f>
        <v>p</v>
      </c>
      <c r="F67">
        <f t="shared" ref="F67:F85" si="24">IF(H67="ZZZZZZ Suspend","",IF(D67&gt;B67,D67-B67,IF(D67&lt;B67,B67-D67,"")))</f>
        <v>3</v>
      </c>
      <c r="G67">
        <v>28</v>
      </c>
      <c r="H67" t="str">
        <f>Data!A68</f>
        <v>The Creator</v>
      </c>
      <c r="I67" s="2" t="str">
        <f>Data!C68</f>
        <v>Rabbitohs</v>
      </c>
      <c r="J67" s="2" t="str">
        <f>Data!D68</f>
        <v>Storm</v>
      </c>
      <c r="K67" s="2" t="str">
        <f>Data!E68</f>
        <v>Titans</v>
      </c>
      <c r="L67" s="2" t="str">
        <f>IF(Data!$S$3&lt;Engine!L$1,0,Data!F68)</f>
        <v>Panthers</v>
      </c>
      <c r="M67" s="2" t="str">
        <f>IF(Data!$S$3&lt;Engine!M$1,0,Data!G68)</f>
        <v>Eels</v>
      </c>
      <c r="N67" s="2" t="str">
        <f>IF(Data!$S$3&lt;Engine!N$1,0,Data!H68)</f>
        <v>Roosters</v>
      </c>
      <c r="O67" s="2" t="str">
        <f>IF(Data!$S$3&lt;Engine!O$1,0,Data!I68)</f>
        <v>Warriors</v>
      </c>
      <c r="P67" s="2" t="str">
        <f>IF(Data!$S$3&lt;Engine!P$1,0,Data!J68)</f>
        <v>Dragons</v>
      </c>
      <c r="Q67" s="17" t="str">
        <f>IF(Data!B68=1,Data!K68,"No Tips")</f>
        <v>Eels</v>
      </c>
      <c r="R67" s="2">
        <f>Data!L68</f>
        <v>50</v>
      </c>
      <c r="S67" s="2">
        <f>Data!M68</f>
        <v>1537</v>
      </c>
      <c r="T67" s="15">
        <f>IF(I67="","",COUNTIF('Live Ladder'!P:P,I67)+COUNTIF('Live Ladder'!P:P,J67)+COUNTIF('Live Ladder'!P:P,K67)+COUNTIF('Live Ladder'!P:P,L67)+COUNTIF('Live Ladder'!P:P,M67)+COUNTIF('Live Ladder'!P:P,N67)+COUNTIF('Live Ladder'!P:P,O67)+COUNTIF('Live Ladder'!P:P,P67))</f>
        <v>1</v>
      </c>
      <c r="U67" s="15">
        <f>IF(I67="","",IF(COUNTIF('Live Ladder'!P:P,Engine!Q67)=1,2,IF(COUNTIF('Live Ladder'!Q:Q,Engine!Q67)=1,-2,0)))</f>
        <v>0</v>
      </c>
      <c r="V67" s="15">
        <f>IF(I67="","",IF(T67=Data!S$3,2,0))</f>
        <v>0</v>
      </c>
      <c r="W67" s="15">
        <f t="shared" ref="W67:W85" si="25">IF(I67="",AD$2,SUM(T67:V67))</f>
        <v>1</v>
      </c>
      <c r="X67" s="15">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34</v>
      </c>
      <c r="Y67">
        <f t="shared" si="17"/>
        <v>51</v>
      </c>
      <c r="Z67">
        <f t="shared" ref="Z67:Z85" si="26">IF(H67="ZZZZZZ Suspend","",S67+X67)</f>
        <v>1571</v>
      </c>
      <c r="AA67" s="161">
        <f t="shared" ref="AA67:AA95" si="27">IF(H67="ZZZZZZ Suspend","",Y67+(Z67/100000)+(G67/1000000000))</f>
        <v>51.015710028000001</v>
      </c>
      <c r="AB67">
        <f t="shared" ref="AB67:AB85" si="28">SUM(T67:V67)</f>
        <v>1</v>
      </c>
      <c r="AC67">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34</v>
      </c>
      <c r="AF67">
        <f>IF(I67="","",IF(Q67="",0,IF(AND(Q67&gt;0,COUNTIF('Stats Calculator'!$T$24:$AA$24,Q67)=1),HLOOKUP(Q67,'Stats Calculator'!$T$24:$AA$27,4,FALSE),IF(AND(Q67&gt;0,COUNTIF('Stats Calculator'!$T$25:$AA$25,Q67)=1),HLOOKUP(Q67,'Stats Calculator'!$T$25:$AA$27,3,FALSE)))))</f>
        <v>5</v>
      </c>
      <c r="AG67">
        <f>IF(I67="","",COUNTIF(I67,'Stats Calculator'!E$31)+COUNTIF(J67,'Stats Calculator'!E$32)+COUNTIF(K67,'Stats Calculator'!E$33)+COUNTIF(L67,'Stats Calculator'!E$34)+COUNTIF(M67,'Stats Calculator'!E$35)+COUNTIF(N67,'Stats Calculator'!E$36)+COUNTIF(O67,'Stats Calculator'!E$37)+COUNTIF(P67,'Stats Calculator'!E$38)-8+Data!S$3)</f>
        <v>1</v>
      </c>
      <c r="AH67">
        <f>IF(I67="","",IF(Q67="",0,IF(Q67=0,0,IF(VLOOKUP(Engine!AF67,'Stats Calculator'!B$31:E$38,4,FALSE)="",0,IF(VLOOKUP(Engine!AF67,'Stats Calculator'!B$31:E$38,4,FALSE)=Q67,2,-2)))))</f>
        <v>0</v>
      </c>
      <c r="AI67">
        <f>IF(I67="","",Data!S$3-COUNTA('Stats Calculator'!E$31:E$38))</f>
        <v>7</v>
      </c>
      <c r="AJ67">
        <f>IF(I67="","",IF(AF67=0,0,IF(VLOOKUP(AF67,'Stats Calculator'!B$31:E$38,4,FALSE)&gt;0,0,2)))</f>
        <v>2</v>
      </c>
      <c r="AK67">
        <f>IF(I67="","",IF(Data!S$3-Engine!AI67=AG67,2,0))</f>
        <v>2</v>
      </c>
      <c r="AL67">
        <f t="shared" ref="AL67:AL85" si="29">IF(I67="","",SUM(AG67:AK67))</f>
        <v>12</v>
      </c>
    </row>
    <row r="68" spans="1:38" x14ac:dyDescent="0.3">
      <c r="A68">
        <v>67</v>
      </c>
      <c r="B68">
        <f t="shared" si="20"/>
        <v>73</v>
      </c>
      <c r="C68" s="161">
        <f t="shared" si="22"/>
        <v>19.011540026999999</v>
      </c>
      <c r="D68">
        <f t="shared" si="21"/>
        <v>73</v>
      </c>
      <c r="E68" s="4" t="str">
        <f t="shared" si="23"/>
        <v>u</v>
      </c>
      <c r="F68" t="str">
        <f t="shared" si="24"/>
        <v/>
      </c>
      <c r="G68">
        <v>27</v>
      </c>
      <c r="H68" t="str">
        <f>Data!A69</f>
        <v>ThePhantom</v>
      </c>
      <c r="I68" s="2" t="str">
        <f>Data!C69</f>
        <v/>
      </c>
      <c r="J68" s="2" t="str">
        <f>Data!D69</f>
        <v/>
      </c>
      <c r="K68" s="2" t="str">
        <f>Data!E69</f>
        <v/>
      </c>
      <c r="L68" s="2" t="str">
        <f>IF(Data!$S$3&lt;Engine!L$1,0,Data!F69)</f>
        <v/>
      </c>
      <c r="M68" s="2" t="str">
        <f>IF(Data!$S$3&lt;Engine!M$1,0,Data!G69)</f>
        <v/>
      </c>
      <c r="N68" s="2" t="str">
        <f>IF(Data!$S$3&lt;Engine!N$1,0,Data!H69)</f>
        <v/>
      </c>
      <c r="O68" s="2" t="str">
        <f>IF(Data!$S$3&lt;Engine!O$1,0,Data!I69)</f>
        <v/>
      </c>
      <c r="P68" s="2" t="str">
        <f>IF(Data!$S$3&lt;Engine!P$1,0,Data!J69)</f>
        <v/>
      </c>
      <c r="Q68" s="17" t="str">
        <f>IF(Data!B69=1,Data!K69,"No Tips")</f>
        <v>No Tips</v>
      </c>
      <c r="R68" s="2">
        <f>Data!L69</f>
        <v>19</v>
      </c>
      <c r="S68" s="2">
        <f>Data!M69</f>
        <v>1154</v>
      </c>
      <c r="T68" s="15" t="str">
        <f>IF(I68="","",COUNTIF('Live Ladder'!P:P,I68)+COUNTIF('Live Ladder'!P:P,J68)+COUNTIF('Live Ladder'!P:P,K68)+COUNTIF('Live Ladder'!P:P,L68)+COUNTIF('Live Ladder'!P:P,M68)+COUNTIF('Live Ladder'!P:P,N68)+COUNTIF('Live Ladder'!P:P,O68)+COUNTIF('Live Ladder'!P:P,P68))</f>
        <v/>
      </c>
      <c r="U68" s="15" t="str">
        <f>IF(I68="","",IF(COUNTIF('Live Ladder'!P:P,Engine!Q68)=1,2,IF(COUNTIF('Live Ladder'!Q:Q,Engine!Q68)=1,-2,0)))</f>
        <v/>
      </c>
      <c r="V68" s="15" t="str">
        <f>IF(I68="","",IF(T68=Data!S$3,2,0))</f>
        <v/>
      </c>
      <c r="W68" s="15">
        <f t="shared" si="25"/>
        <v>0</v>
      </c>
      <c r="X68" s="15">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20</v>
      </c>
      <c r="Y68">
        <f t="shared" si="17"/>
        <v>19</v>
      </c>
      <c r="Z68">
        <f t="shared" si="26"/>
        <v>1174</v>
      </c>
      <c r="AA68" s="161">
        <f t="shared" si="27"/>
        <v>19.011740026999998</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
      <c r="A69">
        <v>68</v>
      </c>
      <c r="B69">
        <f t="shared" si="20"/>
        <v>55</v>
      </c>
      <c r="C69" s="161">
        <f t="shared" si="22"/>
        <v>45.015110026000002</v>
      </c>
      <c r="D69">
        <f t="shared" si="21"/>
        <v>55</v>
      </c>
      <c r="E69" s="4" t="str">
        <f t="shared" si="23"/>
        <v>u</v>
      </c>
      <c r="F69" t="str">
        <f t="shared" si="24"/>
        <v/>
      </c>
      <c r="G69">
        <v>26</v>
      </c>
      <c r="H69" t="str">
        <f>Data!A70</f>
        <v>TheZipZipMan</v>
      </c>
      <c r="I69" s="2" t="str">
        <f>Data!C70</f>
        <v/>
      </c>
      <c r="J69" s="2" t="str">
        <f>Data!D70</f>
        <v/>
      </c>
      <c r="K69" s="2" t="str">
        <f>Data!E70</f>
        <v/>
      </c>
      <c r="L69" s="2" t="str">
        <f>IF(Data!$S$3&lt;Engine!L$1,0,Data!F70)</f>
        <v/>
      </c>
      <c r="M69" s="2" t="str">
        <f>IF(Data!$S$3&lt;Engine!M$1,0,Data!G70)</f>
        <v/>
      </c>
      <c r="N69" s="2" t="str">
        <f>IF(Data!$S$3&lt;Engine!N$1,0,Data!H70)</f>
        <v/>
      </c>
      <c r="O69" s="2" t="str">
        <f>IF(Data!$S$3&lt;Engine!O$1,0,Data!I70)</f>
        <v/>
      </c>
      <c r="P69" s="2" t="str">
        <f>IF(Data!$S$3&lt;Engine!P$1,0,Data!J70)</f>
        <v/>
      </c>
      <c r="Q69" s="17" t="str">
        <f>IF(Data!B70=1,Data!K70,"No Tips")</f>
        <v>No Tips</v>
      </c>
      <c r="R69" s="2">
        <f>Data!L70</f>
        <v>45</v>
      </c>
      <c r="S69" s="2">
        <f>Data!M70</f>
        <v>1511</v>
      </c>
      <c r="T69" s="15" t="str">
        <f>IF(I69="","",COUNTIF('Live Ladder'!P:P,I69)+COUNTIF('Live Ladder'!P:P,J69)+COUNTIF('Live Ladder'!P:P,K69)+COUNTIF('Live Ladder'!P:P,L69)+COUNTIF('Live Ladder'!P:P,M69)+COUNTIF('Live Ladder'!P:P,N69)+COUNTIF('Live Ladder'!P:P,O69)+COUNTIF('Live Ladder'!P:P,P69))</f>
        <v/>
      </c>
      <c r="U69" s="15" t="str">
        <f>IF(I69="","",IF(COUNTIF('Live Ladder'!P:P,Engine!Q69)=1,2,IF(COUNTIF('Live Ladder'!Q:Q,Engine!Q69)=1,-2,0)))</f>
        <v/>
      </c>
      <c r="V69" s="15" t="str">
        <f>IF(I69="","",IF(T69=Data!S$3,2,0))</f>
        <v/>
      </c>
      <c r="W69" s="15">
        <f t="shared" si="25"/>
        <v>0</v>
      </c>
      <c r="X69" s="15">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20</v>
      </c>
      <c r="Y69">
        <f t="shared" si="17"/>
        <v>45</v>
      </c>
      <c r="Z69">
        <f t="shared" si="26"/>
        <v>1531</v>
      </c>
      <c r="AA69" s="161">
        <f t="shared" si="27"/>
        <v>45.015310026000002</v>
      </c>
      <c r="AB69">
        <f t="shared" si="28"/>
        <v>0</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9"/>
        <v/>
      </c>
    </row>
    <row r="70" spans="1:38" x14ac:dyDescent="0.3">
      <c r="A70">
        <v>69</v>
      </c>
      <c r="B70">
        <f t="shared" si="20"/>
        <v>57</v>
      </c>
      <c r="C70" s="161">
        <f t="shared" si="22"/>
        <v>44.014090025000002</v>
      </c>
      <c r="D70">
        <f t="shared" si="21"/>
        <v>57</v>
      </c>
      <c r="E70" s="4" t="str">
        <f t="shared" si="23"/>
        <v>u</v>
      </c>
      <c r="F70" t="str">
        <f t="shared" si="24"/>
        <v/>
      </c>
      <c r="G70">
        <v>25</v>
      </c>
      <c r="H70" t="str">
        <f>Data!A71</f>
        <v>Timbo</v>
      </c>
      <c r="I70" s="2" t="str">
        <f>Data!C71</f>
        <v>Raiders</v>
      </c>
      <c r="J70" s="2" t="str">
        <f>Data!D71</f>
        <v>Storm</v>
      </c>
      <c r="K70" s="2" t="str">
        <f>Data!E71</f>
        <v>Titans</v>
      </c>
      <c r="L70" s="2" t="str">
        <f>IF(Data!$S$3&lt;Engine!L$1,0,Data!F71)</f>
        <v>Panthers</v>
      </c>
      <c r="M70" s="2" t="str">
        <f>IF(Data!$S$3&lt;Engine!M$1,0,Data!G71)</f>
        <v>Eels</v>
      </c>
      <c r="N70" s="2" t="str">
        <f>IF(Data!$S$3&lt;Engine!N$1,0,Data!H71)</f>
        <v>Roosters</v>
      </c>
      <c r="O70" s="2" t="str">
        <f>IF(Data!$S$3&lt;Engine!O$1,0,Data!I71)</f>
        <v>Cowboys</v>
      </c>
      <c r="P70" s="2" t="str">
        <f>IF(Data!$S$3&lt;Engine!P$1,0,Data!J71)</f>
        <v>Dragons</v>
      </c>
      <c r="Q70" s="17" t="str">
        <f>IF(Data!B71=1,Data!K71,"No Tips")</f>
        <v>Storm</v>
      </c>
      <c r="R70" s="2">
        <f>Data!L71</f>
        <v>44</v>
      </c>
      <c r="S70" s="2">
        <f>Data!M71</f>
        <v>1409</v>
      </c>
      <c r="T70" s="15">
        <f>IF(I70="","",COUNTIF('Live Ladder'!P:P,I70)+COUNTIF('Live Ladder'!P:P,J70)+COUNTIF('Live Ladder'!P:P,K70)+COUNTIF('Live Ladder'!P:P,L70)+COUNTIF('Live Ladder'!P:P,M70)+COUNTIF('Live Ladder'!P:P,N70)+COUNTIF('Live Ladder'!P:P,O70)+COUNTIF('Live Ladder'!P:P,P70))</f>
        <v>0</v>
      </c>
      <c r="U70" s="15">
        <f>IF(I70="","",IF(COUNTIF('Live Ladder'!P:P,Engine!Q70)=1,2,IF(COUNTIF('Live Ladder'!Q:Q,Engine!Q70)=1,-2,0)))</f>
        <v>0</v>
      </c>
      <c r="V70" s="15">
        <f>IF(I70="","",IF(T70=Data!S$3,2,0))</f>
        <v>0</v>
      </c>
      <c r="W70" s="15">
        <f t="shared" si="25"/>
        <v>0</v>
      </c>
      <c r="X70" s="15">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20</v>
      </c>
      <c r="Y70">
        <f t="shared" si="17"/>
        <v>44</v>
      </c>
      <c r="Z70">
        <f t="shared" si="26"/>
        <v>1429</v>
      </c>
      <c r="AA70" s="161">
        <f t="shared" si="27"/>
        <v>44.014290025000001</v>
      </c>
      <c r="AB70">
        <f t="shared" si="28"/>
        <v>0</v>
      </c>
      <c r="AC70">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20</v>
      </c>
      <c r="AF70">
        <f>IF(I70="","",IF(Q70="",0,IF(AND(Q70&gt;0,COUNTIF('Stats Calculator'!$T$24:$AA$24,Q70)=1),HLOOKUP(Q70,'Stats Calculator'!$T$24:$AA$27,4,FALSE),IF(AND(Q70&gt;0,COUNTIF('Stats Calculator'!$T$25:$AA$25,Q70)=1),HLOOKUP(Q70,'Stats Calculator'!$T$25:$AA$27,3,FALSE)))))</f>
        <v>2</v>
      </c>
      <c r="AG70">
        <f>IF(I70="","",COUNTIF(I70,'Stats Calculator'!E$31)+COUNTIF(J70,'Stats Calculator'!E$32)+COUNTIF(K70,'Stats Calculator'!E$33)+COUNTIF(L70,'Stats Calculator'!E$34)+COUNTIF(M70,'Stats Calculator'!E$35)+COUNTIF(N70,'Stats Calculator'!E$36)+COUNTIF(O70,'Stats Calculator'!E$37)+COUNTIF(P70,'Stats Calculator'!E$38)-8+Data!S$3)</f>
        <v>0</v>
      </c>
      <c r="AH70">
        <f>IF(I70="","",IF(Q70="",0,IF(Q70=0,0,IF(VLOOKUP(Engine!AF70,'Stats Calculator'!B$31:E$38,4,FALSE)="",0,IF(VLOOKUP(Engine!AF70,'Stats Calculator'!B$31:E$38,4,FALSE)=Q70,2,-2)))))</f>
        <v>0</v>
      </c>
      <c r="AI70">
        <f>IF(I70="","",Data!S$3-COUNTA('Stats Calculator'!E$31:E$38))</f>
        <v>7</v>
      </c>
      <c r="AJ70">
        <f>IF(I70="","",IF(AF70=0,0,IF(VLOOKUP(AF70,'Stats Calculator'!B$31:E$38,4,FALSE)&gt;0,0,2)))</f>
        <v>2</v>
      </c>
      <c r="AK70">
        <f>IF(I70="","",IF(Data!S$3-Engine!AI70=AG70,2,0))</f>
        <v>0</v>
      </c>
      <c r="AL70">
        <f t="shared" si="29"/>
        <v>9</v>
      </c>
    </row>
    <row r="71" spans="1:38" x14ac:dyDescent="0.3">
      <c r="A71">
        <v>70</v>
      </c>
      <c r="B71">
        <f t="shared" si="20"/>
        <v>52</v>
      </c>
      <c r="C71" s="161">
        <f t="shared" si="22"/>
        <v>46.014610024</v>
      </c>
      <c r="D71">
        <f t="shared" si="21"/>
        <v>52</v>
      </c>
      <c r="E71" s="4" t="str">
        <f t="shared" si="23"/>
        <v>u</v>
      </c>
      <c r="F71" t="str">
        <f t="shared" si="24"/>
        <v/>
      </c>
      <c r="G71">
        <v>24</v>
      </c>
      <c r="H71" t="str">
        <f>Data!A72</f>
        <v>Toothpick13</v>
      </c>
      <c r="I71" s="2" t="str">
        <f>Data!C72</f>
        <v>Rabbitohs</v>
      </c>
      <c r="J71" s="2" t="str">
        <f>Data!D72</f>
        <v>Storm</v>
      </c>
      <c r="K71" s="2" t="str">
        <f>Data!E72</f>
        <v>Titans</v>
      </c>
      <c r="L71" s="2" t="str">
        <f>IF(Data!$S$3&lt;Engine!L$1,0,Data!F72)</f>
        <v>Panthers</v>
      </c>
      <c r="M71" s="2" t="str">
        <f>IF(Data!$S$3&lt;Engine!M$1,0,Data!G72)</f>
        <v>Eels</v>
      </c>
      <c r="N71" s="2" t="str">
        <f>IF(Data!$S$3&lt;Engine!N$1,0,Data!H72)</f>
        <v>Roosters</v>
      </c>
      <c r="O71" s="2" t="str">
        <f>IF(Data!$S$3&lt;Engine!O$1,0,Data!I72)</f>
        <v>Warriors</v>
      </c>
      <c r="P71" s="2" t="str">
        <f>IF(Data!$S$3&lt;Engine!P$1,0,Data!J72)</f>
        <v>Dragons</v>
      </c>
      <c r="Q71" s="17" t="str">
        <f>IF(Data!B72=1,Data!K72,"No Tips")</f>
        <v>Eels</v>
      </c>
      <c r="R71" s="2">
        <f>Data!L72</f>
        <v>46</v>
      </c>
      <c r="S71" s="2">
        <f>Data!M72</f>
        <v>1461</v>
      </c>
      <c r="T71" s="15">
        <f>IF(I71="","",COUNTIF('Live Ladder'!P:P,I71)+COUNTIF('Live Ladder'!P:P,J71)+COUNTIF('Live Ladder'!P:P,K71)+COUNTIF('Live Ladder'!P:P,L71)+COUNTIF('Live Ladder'!P:P,M71)+COUNTIF('Live Ladder'!P:P,N71)+COUNTIF('Live Ladder'!P:P,O71)+COUNTIF('Live Ladder'!P:P,P71))</f>
        <v>1</v>
      </c>
      <c r="U71" s="15">
        <f>IF(I71="","",IF(COUNTIF('Live Ladder'!P:P,Engine!Q71)=1,2,IF(COUNTIF('Live Ladder'!Q:Q,Engine!Q71)=1,-2,0)))</f>
        <v>0</v>
      </c>
      <c r="V71" s="15">
        <f>IF(I71="","",IF(T71=Data!S$3,2,0))</f>
        <v>0</v>
      </c>
      <c r="W71" s="15">
        <f t="shared" si="25"/>
        <v>1</v>
      </c>
      <c r="X71" s="15">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34</v>
      </c>
      <c r="Y71">
        <f t="shared" si="17"/>
        <v>47</v>
      </c>
      <c r="Z71">
        <f t="shared" si="26"/>
        <v>1495</v>
      </c>
      <c r="AA71" s="161">
        <f t="shared" si="27"/>
        <v>47.014950024000001</v>
      </c>
      <c r="AB71">
        <f t="shared" si="28"/>
        <v>1</v>
      </c>
      <c r="AC71">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34</v>
      </c>
      <c r="AF71">
        <f>IF(I71="","",IF(Q71="",0,IF(AND(Q71&gt;0,COUNTIF('Stats Calculator'!$T$24:$AA$24,Q71)=1),HLOOKUP(Q71,'Stats Calculator'!$T$24:$AA$27,4,FALSE),IF(AND(Q71&gt;0,COUNTIF('Stats Calculator'!$T$25:$AA$25,Q71)=1),HLOOKUP(Q71,'Stats Calculator'!$T$25:$AA$27,3,FALSE)))))</f>
        <v>5</v>
      </c>
      <c r="AG71">
        <f>IF(I71="","",COUNTIF(I71,'Stats Calculator'!E$31)+COUNTIF(J71,'Stats Calculator'!E$32)+COUNTIF(K71,'Stats Calculator'!E$33)+COUNTIF(L71,'Stats Calculator'!E$34)+COUNTIF(M71,'Stats Calculator'!E$35)+COUNTIF(N71,'Stats Calculator'!E$36)+COUNTIF(O71,'Stats Calculator'!E$37)+COUNTIF(P71,'Stats Calculator'!E$38)-8+Data!S$3)</f>
        <v>1</v>
      </c>
      <c r="AH71">
        <f>IF(I71="","",IF(Q71="",0,IF(Q71=0,0,IF(VLOOKUP(Engine!AF71,'Stats Calculator'!B$31:E$38,4,FALSE)="",0,IF(VLOOKUP(Engine!AF71,'Stats Calculator'!B$31:E$38,4,FALSE)=Q71,2,-2)))))</f>
        <v>0</v>
      </c>
      <c r="AI71">
        <f>IF(I71="","",Data!S$3-COUNTA('Stats Calculator'!E$31:E$38))</f>
        <v>7</v>
      </c>
      <c r="AJ71">
        <f>IF(I71="","",IF(AF71=0,0,IF(VLOOKUP(AF71,'Stats Calculator'!B$31:E$38,4,FALSE)&gt;0,0,2)))</f>
        <v>2</v>
      </c>
      <c r="AK71">
        <f>IF(I71="","",IF(Data!S$3-Engine!AI71=AG71,2,0))</f>
        <v>2</v>
      </c>
      <c r="AL71">
        <f t="shared" si="29"/>
        <v>12</v>
      </c>
    </row>
    <row r="72" spans="1:38" x14ac:dyDescent="0.3">
      <c r="A72">
        <v>71</v>
      </c>
      <c r="B72">
        <f t="shared" si="20"/>
        <v>25</v>
      </c>
      <c r="C72" s="161">
        <f t="shared" si="22"/>
        <v>49.015210023000002</v>
      </c>
      <c r="D72">
        <f t="shared" si="21"/>
        <v>25</v>
      </c>
      <c r="E72" s="4" t="str">
        <f t="shared" si="23"/>
        <v>u</v>
      </c>
      <c r="F72" t="str">
        <f t="shared" si="24"/>
        <v/>
      </c>
      <c r="G72">
        <v>23</v>
      </c>
      <c r="H72" t="str">
        <f>Data!A73</f>
        <v>turoshamstrings</v>
      </c>
      <c r="I72" s="2" t="str">
        <f>Data!C73</f>
        <v>Rabbitohs</v>
      </c>
      <c r="J72" s="2" t="str">
        <f>Data!D73</f>
        <v>Storm</v>
      </c>
      <c r="K72" s="2" t="str">
        <f>Data!E73</f>
        <v>Titans</v>
      </c>
      <c r="L72" s="2" t="str">
        <f>IF(Data!$S$3&lt;Engine!L$1,0,Data!F73)</f>
        <v>Panthers</v>
      </c>
      <c r="M72" s="2" t="str">
        <f>IF(Data!$S$3&lt;Engine!M$1,0,Data!G73)</f>
        <v>Eels</v>
      </c>
      <c r="N72" s="2" t="str">
        <f>IF(Data!$S$3&lt;Engine!N$1,0,Data!H73)</f>
        <v>Roosters</v>
      </c>
      <c r="O72" s="2" t="str">
        <f>IF(Data!$S$3&lt;Engine!O$1,0,Data!I73)</f>
        <v>Warriors</v>
      </c>
      <c r="P72" s="2" t="str">
        <f>IF(Data!$S$3&lt;Engine!P$1,0,Data!J73)</f>
        <v>Dragons</v>
      </c>
      <c r="Q72" s="17" t="str">
        <f>IF(Data!B73=1,Data!K73,"No Tips")</f>
        <v>Storm</v>
      </c>
      <c r="R72" s="2">
        <f>Data!L73</f>
        <v>49</v>
      </c>
      <c r="S72" s="2">
        <f>Data!M73</f>
        <v>1521</v>
      </c>
      <c r="T72" s="15">
        <f>IF(I72="","",COUNTIF('Live Ladder'!P:P,I72)+COUNTIF('Live Ladder'!P:P,J72)+COUNTIF('Live Ladder'!P:P,K72)+COUNTIF('Live Ladder'!P:P,L72)+COUNTIF('Live Ladder'!P:P,M72)+COUNTIF('Live Ladder'!P:P,N72)+COUNTIF('Live Ladder'!P:P,O72)+COUNTIF('Live Ladder'!P:P,P72))</f>
        <v>1</v>
      </c>
      <c r="U72" s="15">
        <f>IF(I72="","",IF(COUNTIF('Live Ladder'!P:P,Engine!Q72)=1,2,IF(COUNTIF('Live Ladder'!Q:Q,Engine!Q72)=1,-2,0)))</f>
        <v>0</v>
      </c>
      <c r="V72" s="15">
        <f>IF(I72="","",IF(T72=Data!S$3,2,0))</f>
        <v>0</v>
      </c>
      <c r="W72" s="15">
        <f t="shared" si="25"/>
        <v>1</v>
      </c>
      <c r="X72" s="15">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34</v>
      </c>
      <c r="Y72">
        <f t="shared" si="17"/>
        <v>50</v>
      </c>
      <c r="Z72">
        <f t="shared" si="26"/>
        <v>1555</v>
      </c>
      <c r="AA72" s="161">
        <f t="shared" si="27"/>
        <v>50.015550022999996</v>
      </c>
      <c r="AB72">
        <f t="shared" si="28"/>
        <v>1</v>
      </c>
      <c r="AC72">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34</v>
      </c>
      <c r="AF72">
        <f>IF(I72="","",IF(Q72="",0,IF(AND(Q72&gt;0,COUNTIF('Stats Calculator'!$T$24:$AA$24,Q72)=1),HLOOKUP(Q72,'Stats Calculator'!$T$24:$AA$27,4,FALSE),IF(AND(Q72&gt;0,COUNTIF('Stats Calculator'!$T$25:$AA$25,Q72)=1),HLOOKUP(Q72,'Stats Calculator'!$T$25:$AA$27,3,FALSE)))))</f>
        <v>2</v>
      </c>
      <c r="AG72">
        <f>IF(I72="","",COUNTIF(I72,'Stats Calculator'!E$31)+COUNTIF(J72,'Stats Calculator'!E$32)+COUNTIF(K72,'Stats Calculator'!E$33)+COUNTIF(L72,'Stats Calculator'!E$34)+COUNTIF(M72,'Stats Calculator'!E$35)+COUNTIF(N72,'Stats Calculator'!E$36)+COUNTIF(O72,'Stats Calculator'!E$37)+COUNTIF(P72,'Stats Calculator'!E$38)-8+Data!S$3)</f>
        <v>1</v>
      </c>
      <c r="AH72">
        <f>IF(I72="","",IF(Q72="",0,IF(Q72=0,0,IF(VLOOKUP(Engine!AF72,'Stats Calculator'!B$31:E$38,4,FALSE)="",0,IF(VLOOKUP(Engine!AF72,'Stats Calculator'!B$31:E$38,4,FALSE)=Q72,2,-2)))))</f>
        <v>0</v>
      </c>
      <c r="AI72">
        <f>IF(I72="","",Data!S$3-COUNTA('Stats Calculator'!E$31:E$38))</f>
        <v>7</v>
      </c>
      <c r="AJ72">
        <f>IF(I72="","",IF(AF72=0,0,IF(VLOOKUP(AF72,'Stats Calculator'!B$31:E$38,4,FALSE)&gt;0,0,2)))</f>
        <v>2</v>
      </c>
      <c r="AK72">
        <f>IF(I72="","",IF(Data!S$3-Engine!AI72=AG72,2,0))</f>
        <v>2</v>
      </c>
      <c r="AL72">
        <f t="shared" si="29"/>
        <v>12</v>
      </c>
    </row>
    <row r="73" spans="1:38" x14ac:dyDescent="0.3">
      <c r="A73">
        <v>72</v>
      </c>
      <c r="B73">
        <f t="shared" si="20"/>
        <v>35</v>
      </c>
      <c r="C73" s="161">
        <f t="shared" si="22"/>
        <v>48.015030022000005</v>
      </c>
      <c r="D73">
        <f t="shared" si="21"/>
        <v>34</v>
      </c>
      <c r="E73" s="4" t="str">
        <f t="shared" si="23"/>
        <v>p</v>
      </c>
      <c r="F73">
        <f t="shared" si="24"/>
        <v>1</v>
      </c>
      <c r="G73">
        <v>22</v>
      </c>
      <c r="H73" t="str">
        <f>Data!A74</f>
        <v>Wiley C</v>
      </c>
      <c r="I73" s="2" t="str">
        <f>Data!C74</f>
        <v>Rabbitohs</v>
      </c>
      <c r="J73" s="2" t="str">
        <f>Data!D74</f>
        <v>Storm</v>
      </c>
      <c r="K73" s="2" t="str">
        <f>Data!E74</f>
        <v>Titans</v>
      </c>
      <c r="L73" s="2" t="str">
        <f>IF(Data!$S$3&lt;Engine!L$1,0,Data!F74)</f>
        <v>Panthers</v>
      </c>
      <c r="M73" s="2" t="str">
        <f>IF(Data!$S$3&lt;Engine!M$1,0,Data!G74)</f>
        <v>Eels</v>
      </c>
      <c r="N73" s="2" t="str">
        <f>IF(Data!$S$3&lt;Engine!N$1,0,Data!H74)</f>
        <v>Roosters</v>
      </c>
      <c r="O73" s="2" t="str">
        <f>IF(Data!$S$3&lt;Engine!O$1,0,Data!I74)</f>
        <v>Warriors</v>
      </c>
      <c r="P73" s="2" t="str">
        <f>IF(Data!$S$3&lt;Engine!P$1,0,Data!J74)</f>
        <v>Dragons</v>
      </c>
      <c r="Q73" s="17" t="str">
        <f>IF(Data!B74=1,Data!K74,"No Tips")</f>
        <v>Eels</v>
      </c>
      <c r="R73" s="2">
        <f>Data!L74</f>
        <v>48</v>
      </c>
      <c r="S73" s="2">
        <f>Data!M74</f>
        <v>1503</v>
      </c>
      <c r="T73" s="15">
        <f>IF(I73="","",COUNTIF('Live Ladder'!P:P,I73)+COUNTIF('Live Ladder'!P:P,J73)+COUNTIF('Live Ladder'!P:P,K73)+COUNTIF('Live Ladder'!P:P,L73)+COUNTIF('Live Ladder'!P:P,M73)+COUNTIF('Live Ladder'!P:P,N73)+COUNTIF('Live Ladder'!P:P,O73)+COUNTIF('Live Ladder'!P:P,P73))</f>
        <v>1</v>
      </c>
      <c r="U73" s="15">
        <f>IF(I73="","",IF(COUNTIF('Live Ladder'!P:P,Engine!Q73)=1,2,IF(COUNTIF('Live Ladder'!Q:Q,Engine!Q73)=1,-2,0)))</f>
        <v>0</v>
      </c>
      <c r="V73" s="15">
        <f>IF(I73="","",IF(T73=Data!S$3,2,0))</f>
        <v>0</v>
      </c>
      <c r="W73" s="15">
        <f t="shared" si="25"/>
        <v>1</v>
      </c>
      <c r="X73" s="15">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34</v>
      </c>
      <c r="Y73">
        <f t="shared" si="17"/>
        <v>49</v>
      </c>
      <c r="Z73">
        <f t="shared" si="26"/>
        <v>1537</v>
      </c>
      <c r="AA73" s="161">
        <f t="shared" si="27"/>
        <v>49.015370021999999</v>
      </c>
      <c r="AB73">
        <f t="shared" si="28"/>
        <v>1</v>
      </c>
      <c r="AC73">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34</v>
      </c>
      <c r="AF73">
        <f>IF(I73="","",IF(Q73="",0,IF(AND(Q73&gt;0,COUNTIF('Stats Calculator'!$T$24:$AA$24,Q73)=1),HLOOKUP(Q73,'Stats Calculator'!$T$24:$AA$27,4,FALSE),IF(AND(Q73&gt;0,COUNTIF('Stats Calculator'!$T$25:$AA$25,Q73)=1),HLOOKUP(Q73,'Stats Calculator'!$T$25:$AA$27,3,FALSE)))))</f>
        <v>5</v>
      </c>
      <c r="AG73">
        <f>IF(I73="","",COUNTIF(I73,'Stats Calculator'!E$31)+COUNTIF(J73,'Stats Calculator'!E$32)+COUNTIF(K73,'Stats Calculator'!E$33)+COUNTIF(L73,'Stats Calculator'!E$34)+COUNTIF(M73,'Stats Calculator'!E$35)+COUNTIF(N73,'Stats Calculator'!E$36)+COUNTIF(O73,'Stats Calculator'!E$37)+COUNTIF(P73,'Stats Calculator'!E$38)-8+Data!S$3)</f>
        <v>1</v>
      </c>
      <c r="AH73">
        <f>IF(I73="","",IF(Q73="",0,IF(Q73=0,0,IF(VLOOKUP(Engine!AF73,'Stats Calculator'!B$31:E$38,4,FALSE)="",0,IF(VLOOKUP(Engine!AF73,'Stats Calculator'!B$31:E$38,4,FALSE)=Q73,2,-2)))))</f>
        <v>0</v>
      </c>
      <c r="AI73">
        <f>IF(I73="","",Data!S$3-COUNTA('Stats Calculator'!E$31:E$38))</f>
        <v>7</v>
      </c>
      <c r="AJ73">
        <f>IF(I73="","",IF(AF73=0,0,IF(VLOOKUP(AF73,'Stats Calculator'!B$31:E$38,4,FALSE)&gt;0,0,2)))</f>
        <v>2</v>
      </c>
      <c r="AK73">
        <f>IF(I73="","",IF(Data!S$3-Engine!AI73=AG73,2,0))</f>
        <v>2</v>
      </c>
      <c r="AL73">
        <f t="shared" si="29"/>
        <v>12</v>
      </c>
    </row>
    <row r="74" spans="1:38" s="16" customFormat="1" x14ac:dyDescent="0.3">
      <c r="A74" s="16">
        <v>73</v>
      </c>
      <c r="B74" s="16">
        <f t="shared" si="20"/>
        <v>2</v>
      </c>
      <c r="C74" s="161">
        <f t="shared" si="22"/>
        <v>54.015190020999995</v>
      </c>
      <c r="D74" s="16">
        <f t="shared" si="21"/>
        <v>2</v>
      </c>
      <c r="E74" s="156" t="str">
        <f t="shared" si="23"/>
        <v>u</v>
      </c>
      <c r="F74" s="16" t="str">
        <f t="shared" si="24"/>
        <v/>
      </c>
      <c r="G74">
        <v>21</v>
      </c>
      <c r="H74" t="str">
        <f>Data!A75</f>
        <v>Yackas</v>
      </c>
      <c r="I74" s="2" t="str">
        <f>Data!C75</f>
        <v>Rabbitohs</v>
      </c>
      <c r="J74" s="2" t="str">
        <f>Data!D75</f>
        <v>Storm</v>
      </c>
      <c r="K74" s="2" t="str">
        <f>Data!E75</f>
        <v>Titans</v>
      </c>
      <c r="L74" s="2" t="str">
        <f>IF(Data!$S$3&lt;Engine!L$1,0,Data!F75)</f>
        <v>Panthers</v>
      </c>
      <c r="M74" s="2" t="str">
        <f>IF(Data!$S$3&lt;Engine!M$1,0,Data!G75)</f>
        <v>Eels</v>
      </c>
      <c r="N74" s="2" t="str">
        <f>IF(Data!$S$3&lt;Engine!N$1,0,Data!H75)</f>
        <v>Roosters</v>
      </c>
      <c r="O74" s="2" t="str">
        <f>IF(Data!$S$3&lt;Engine!O$1,0,Data!I75)</f>
        <v>Warriors</v>
      </c>
      <c r="P74" s="2" t="str">
        <f>IF(Data!$S$3&lt;Engine!P$1,0,Data!J75)</f>
        <v>Dragons</v>
      </c>
      <c r="Q74" s="17" t="str">
        <f>IF(Data!B75=1,Data!K75,"No Tips")</f>
        <v>Eels</v>
      </c>
      <c r="R74" s="2">
        <f>Data!L75</f>
        <v>54</v>
      </c>
      <c r="S74" s="2">
        <f>Data!M75</f>
        <v>1519</v>
      </c>
      <c r="T74" s="15">
        <f>IF(I74="","",COUNTIF('Live Ladder'!P:P,I74)+COUNTIF('Live Ladder'!P:P,J74)+COUNTIF('Live Ladder'!P:P,K74)+COUNTIF('Live Ladder'!P:P,L74)+COUNTIF('Live Ladder'!P:P,M74)+COUNTIF('Live Ladder'!P:P,N74)+COUNTIF('Live Ladder'!P:P,O74)+COUNTIF('Live Ladder'!P:P,P74))</f>
        <v>1</v>
      </c>
      <c r="U74" s="15">
        <f>IF(I74="","",IF(COUNTIF('Live Ladder'!P:P,Engine!Q74)=1,2,IF(COUNTIF('Live Ladder'!Q:Q,Engine!Q74)=1,-2,0)))</f>
        <v>0</v>
      </c>
      <c r="V74" s="15">
        <f>IF(I74="","",IF(T74=Data!S$3,2,0))</f>
        <v>0</v>
      </c>
      <c r="W74" s="15">
        <f t="shared" si="25"/>
        <v>1</v>
      </c>
      <c r="X74" s="15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34</v>
      </c>
      <c r="Y74">
        <f t="shared" si="17"/>
        <v>55</v>
      </c>
      <c r="Z74" s="16">
        <f t="shared" si="26"/>
        <v>1553</v>
      </c>
      <c r="AA74" s="161">
        <f t="shared" si="27"/>
        <v>55.015530020999996</v>
      </c>
      <c r="AB74">
        <f t="shared" si="28"/>
        <v>1</v>
      </c>
      <c r="AC74" s="16">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34</v>
      </c>
      <c r="AF74" s="16">
        <f>IF(I74="","",IF(Q74="",0,IF(AND(Q74&gt;0,COUNTIF('Stats Calculator'!$T$24:$AA$24,Q74)=1),HLOOKUP(Q74,'Stats Calculator'!$T$24:$AA$27,4,FALSE),IF(AND(Q74&gt;0,COUNTIF('Stats Calculator'!$T$25:$AA$25,Q74)=1),HLOOKUP(Q74,'Stats Calculator'!$T$25:$AA$27,3,FALSE)))))</f>
        <v>5</v>
      </c>
      <c r="AG74" s="16">
        <f>IF(I74="","",COUNTIF(I74,'Stats Calculator'!E$31)+COUNTIF(J74,'Stats Calculator'!E$32)+COUNTIF(K74,'Stats Calculator'!E$33)+COUNTIF(L74,'Stats Calculator'!E$34)+COUNTIF(M74,'Stats Calculator'!E$35)+COUNTIF(N74,'Stats Calculator'!E$36)+COUNTIF(O74,'Stats Calculator'!E$37)+COUNTIF(P74,'Stats Calculator'!E$38)-8+Data!S$3)</f>
        <v>1</v>
      </c>
      <c r="AH74" s="16">
        <f>IF(I74="","",IF(Q74="",0,IF(Q74=0,0,IF(VLOOKUP(Engine!AF74,'Stats Calculator'!B$31:E$38,4,FALSE)="",0,IF(VLOOKUP(Engine!AF74,'Stats Calculator'!B$31:E$38,4,FALSE)=Q74,2,-2)))))</f>
        <v>0</v>
      </c>
      <c r="AI74" s="16">
        <f>IF(I74="","",Data!S$3-COUNTA('Stats Calculator'!E$31:E$38))</f>
        <v>7</v>
      </c>
      <c r="AJ74" s="16">
        <f>IF(I74="","",IF(AF74=0,0,IF(VLOOKUP(AF74,'Stats Calculator'!B$31:E$38,4,FALSE)&gt;0,0,2)))</f>
        <v>2</v>
      </c>
      <c r="AK74" s="16">
        <f>IF(I74="","",IF(Data!S$3-Engine!AI74=AG74,2,0))</f>
        <v>2</v>
      </c>
      <c r="AL74" s="16">
        <f t="shared" si="29"/>
        <v>12</v>
      </c>
    </row>
    <row r="75" spans="1:38" x14ac:dyDescent="0.3">
      <c r="A75">
        <v>74</v>
      </c>
      <c r="B75">
        <f t="shared" si="20"/>
        <v>50</v>
      </c>
      <c r="C75" s="161">
        <f t="shared" si="22"/>
        <v>46.014720019999999</v>
      </c>
      <c r="D75">
        <f t="shared" si="21"/>
        <v>50</v>
      </c>
      <c r="E75" s="4" t="str">
        <f t="shared" si="23"/>
        <v>u</v>
      </c>
      <c r="F75" t="str">
        <f t="shared" si="24"/>
        <v/>
      </c>
      <c r="G75">
        <v>20</v>
      </c>
      <c r="H75" t="str">
        <f>Data!A76</f>
        <v>Year of the Knights</v>
      </c>
      <c r="I75" s="2" t="str">
        <f>Data!C76</f>
        <v>Rabbitohs</v>
      </c>
      <c r="J75" s="2" t="str">
        <f>Data!D76</f>
        <v>Storm</v>
      </c>
      <c r="K75" s="2" t="str">
        <f>Data!E76</f>
        <v>Titans</v>
      </c>
      <c r="L75" s="2" t="str">
        <f>IF(Data!$S$3&lt;Engine!L$1,0,Data!F76)</f>
        <v>Panthers</v>
      </c>
      <c r="M75" s="2" t="str">
        <f>IF(Data!$S$3&lt;Engine!M$1,0,Data!G76)</f>
        <v>Eels</v>
      </c>
      <c r="N75" s="2" t="str">
        <f>IF(Data!$S$3&lt;Engine!N$1,0,Data!H76)</f>
        <v>Knights</v>
      </c>
      <c r="O75" s="2" t="str">
        <f>IF(Data!$S$3&lt;Engine!O$1,0,Data!I76)</f>
        <v>Warriors</v>
      </c>
      <c r="P75" s="2" t="str">
        <f>IF(Data!$S$3&lt;Engine!P$1,0,Data!J76)</f>
        <v>Dragons</v>
      </c>
      <c r="Q75" s="17" t="str">
        <f>IF(Data!B76=1,Data!K76,"No Tips")</f>
        <v>Storm</v>
      </c>
      <c r="R75" s="2">
        <f>Data!L76</f>
        <v>46</v>
      </c>
      <c r="S75" s="2">
        <f>Data!M76</f>
        <v>1472</v>
      </c>
      <c r="T75" s="15">
        <f>IF(I75="","",COUNTIF('Live Ladder'!P:P,I75)+COUNTIF('Live Ladder'!P:P,J75)+COUNTIF('Live Ladder'!P:P,K75)+COUNTIF('Live Ladder'!P:P,L75)+COUNTIF('Live Ladder'!P:P,M75)+COUNTIF('Live Ladder'!P:P,N75)+COUNTIF('Live Ladder'!P:P,O75)+COUNTIF('Live Ladder'!P:P,P75))</f>
        <v>1</v>
      </c>
      <c r="U75" s="15">
        <f>IF(I75="","",IF(COUNTIF('Live Ladder'!P:P,Engine!Q75)=1,2,IF(COUNTIF('Live Ladder'!Q:Q,Engine!Q75)=1,-2,0)))</f>
        <v>0</v>
      </c>
      <c r="V75" s="15">
        <f>IF(I75="","",IF(T75=Data!S$3,2,0))</f>
        <v>0</v>
      </c>
      <c r="W75" s="15">
        <f t="shared" si="25"/>
        <v>1</v>
      </c>
      <c r="X75" s="15">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34</v>
      </c>
      <c r="Y75">
        <f t="shared" si="17"/>
        <v>47</v>
      </c>
      <c r="Z75">
        <f t="shared" si="26"/>
        <v>1506</v>
      </c>
      <c r="AA75" s="161">
        <f t="shared" si="27"/>
        <v>47.01506002</v>
      </c>
      <c r="AB75">
        <f t="shared" si="28"/>
        <v>1</v>
      </c>
      <c r="AC75">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34</v>
      </c>
      <c r="AF75">
        <f>IF(I75="","",IF(Q75="",0,IF(AND(Q75&gt;0,COUNTIF('Stats Calculator'!$T$24:$AA$24,Q75)=1),HLOOKUP(Q75,'Stats Calculator'!$T$24:$AA$27,4,FALSE),IF(AND(Q75&gt;0,COUNTIF('Stats Calculator'!$T$25:$AA$25,Q75)=1),HLOOKUP(Q75,'Stats Calculator'!$T$25:$AA$27,3,FALSE)))))</f>
        <v>2</v>
      </c>
      <c r="AG75">
        <f>IF(I75="","",COUNTIF(I75,'Stats Calculator'!E$31)+COUNTIF(J75,'Stats Calculator'!E$32)+COUNTIF(K75,'Stats Calculator'!E$33)+COUNTIF(L75,'Stats Calculator'!E$34)+COUNTIF(M75,'Stats Calculator'!E$35)+COUNTIF(N75,'Stats Calculator'!E$36)+COUNTIF(O75,'Stats Calculator'!E$37)+COUNTIF(P75,'Stats Calculator'!E$38)-8+Data!S$3)</f>
        <v>1</v>
      </c>
      <c r="AH75">
        <f>IF(I75="","",IF(Q75="",0,IF(Q75=0,0,IF(VLOOKUP(Engine!AF75,'Stats Calculator'!B$31:E$38,4,FALSE)="",0,IF(VLOOKUP(Engine!AF75,'Stats Calculator'!B$31:E$38,4,FALSE)=Q75,2,-2)))))</f>
        <v>0</v>
      </c>
      <c r="AI75">
        <f>IF(I75="","",Data!S$3-COUNTA('Stats Calculator'!E$31:E$38))</f>
        <v>7</v>
      </c>
      <c r="AJ75">
        <f>IF(I75="","",IF(AF75=0,0,IF(VLOOKUP(AF75,'Stats Calculator'!B$31:E$38,4,FALSE)&gt;0,0,2)))</f>
        <v>2</v>
      </c>
      <c r="AK75">
        <f>IF(I75="","",IF(Data!S$3-Engine!AI75=AG75,2,0))</f>
        <v>2</v>
      </c>
      <c r="AL75">
        <f t="shared" si="29"/>
        <v>12</v>
      </c>
    </row>
    <row r="76" spans="1:38" x14ac:dyDescent="0.3">
      <c r="A76">
        <v>75</v>
      </c>
      <c r="B76" t="str">
        <f t="shared" si="20"/>
        <v/>
      </c>
      <c r="C76" s="161" t="str">
        <f t="shared" si="22"/>
        <v/>
      </c>
      <c r="D76" t="str">
        <f t="shared" si="21"/>
        <v/>
      </c>
      <c r="E76" s="4" t="str">
        <f t="shared" si="23"/>
        <v/>
      </c>
      <c r="F76" t="str">
        <f t="shared" si="24"/>
        <v/>
      </c>
      <c r="G76">
        <v>17</v>
      </c>
      <c r="H76" t="str">
        <f>Data!A79</f>
        <v>ZZZZZZ Suspend</v>
      </c>
      <c r="I76" s="2" t="str">
        <f>Data!C79</f>
        <v/>
      </c>
      <c r="J76" s="2" t="str">
        <f>Data!D79</f>
        <v/>
      </c>
      <c r="K76" s="2" t="str">
        <f>Data!E79</f>
        <v/>
      </c>
      <c r="L76" s="2" t="str">
        <f>IF(Data!$S$3&lt;Engine!L$1,0,Data!F79)</f>
        <v/>
      </c>
      <c r="M76" s="2" t="str">
        <f>IF(Data!$S$3&lt;Engine!M$1,0,Data!G79)</f>
        <v/>
      </c>
      <c r="N76" s="2" t="str">
        <f>IF(Data!$S$3&lt;Engine!N$1,0,Data!H79)</f>
        <v/>
      </c>
      <c r="O76" s="2" t="str">
        <f>IF(Data!$S$3&lt;Engine!O$1,0,Data!I79)</f>
        <v/>
      </c>
      <c r="P76" s="2" t="str">
        <f>IF(Data!$S$3&lt;Engine!P$1,0,Data!J79)</f>
        <v/>
      </c>
      <c r="Q76" s="17" t="str">
        <f>IF(Data!B79=1,Data!K79,"No Tips")</f>
        <v>No Tips</v>
      </c>
      <c r="R76" s="2" t="str">
        <f>Data!L79</f>
        <v/>
      </c>
      <c r="S76" s="2" t="str">
        <f>Data!M79</f>
        <v/>
      </c>
      <c r="T76" s="15" t="str">
        <f>IF(I76="","",COUNTIF('Live Ladder'!P:P,I76)+COUNTIF('Live Ladder'!P:P,J76)+COUNTIF('Live Ladder'!P:P,K76)+COUNTIF('Live Ladder'!P:P,L76)+COUNTIF('Live Ladder'!P:P,M76)+COUNTIF('Live Ladder'!P:P,N76)+COUNTIF('Live Ladder'!P:P,O76)+COUNTIF('Live Ladder'!P:P,P76))</f>
        <v/>
      </c>
      <c r="U76" s="15" t="str">
        <f>IF(I76="","",IF(COUNTIF('Live Ladder'!P:P,Engine!Q76)=1,2,IF(COUNTIF('Live Ladder'!Q:Q,Engine!Q76)=1,-2,0)))</f>
        <v/>
      </c>
      <c r="V76" s="15" t="str">
        <f>IF(I76="","",IF(T76=Data!S$3,2,0))</f>
        <v/>
      </c>
      <c r="W76" s="15">
        <f t="shared" si="25"/>
        <v>0</v>
      </c>
      <c r="X76" s="15">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20</v>
      </c>
      <c r="Y76" t="str">
        <f t="shared" si="17"/>
        <v/>
      </c>
      <c r="Z76" t="str">
        <f t="shared" si="26"/>
        <v/>
      </c>
      <c r="AA76" s="161"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
      <c r="A77">
        <v>76</v>
      </c>
      <c r="B77" t="str">
        <f t="shared" si="20"/>
        <v/>
      </c>
      <c r="C77" s="161" t="str">
        <f t="shared" si="22"/>
        <v/>
      </c>
      <c r="D77" t="str">
        <f t="shared" si="21"/>
        <v/>
      </c>
      <c r="E77" s="4" t="str">
        <f t="shared" si="23"/>
        <v/>
      </c>
      <c r="F77" t="str">
        <f t="shared" si="24"/>
        <v/>
      </c>
      <c r="G77">
        <v>12</v>
      </c>
      <c r="H77" t="str">
        <f>Data!A84</f>
        <v>ZZZZZZ Suspend</v>
      </c>
      <c r="I77" s="2" t="str">
        <f>Data!C84</f>
        <v/>
      </c>
      <c r="J77" s="2" t="str">
        <f>Data!D84</f>
        <v/>
      </c>
      <c r="K77" s="2" t="str">
        <f>Data!E84</f>
        <v/>
      </c>
      <c r="L77" s="2" t="str">
        <f>IF(Data!$S$3&lt;Engine!L$1,0,Data!F84)</f>
        <v/>
      </c>
      <c r="M77" s="2" t="str">
        <f>IF(Data!$S$3&lt;Engine!M$1,0,Data!G84)</f>
        <v/>
      </c>
      <c r="N77" s="2" t="str">
        <f>IF(Data!$S$3&lt;Engine!N$1,0,Data!H84)</f>
        <v/>
      </c>
      <c r="O77" s="2" t="str">
        <f>IF(Data!$S$3&lt;Engine!O$1,0,Data!I84)</f>
        <v/>
      </c>
      <c r="P77" s="2" t="str">
        <f>IF(Data!$S$3&lt;Engine!P$1,0,Data!J84)</f>
        <v/>
      </c>
      <c r="Q77" s="17" t="str">
        <f>IF(Data!B84=1,Data!K84,"No Tips")</f>
        <v>No Tips</v>
      </c>
      <c r="R77" s="2" t="str">
        <f>Data!L84</f>
        <v/>
      </c>
      <c r="S77" s="2" t="str">
        <f>Data!M84</f>
        <v/>
      </c>
      <c r="T77" s="15" t="str">
        <f>IF(I77="","",COUNTIF('Live Ladder'!P:P,I77)+COUNTIF('Live Ladder'!P:P,J77)+COUNTIF('Live Ladder'!P:P,K77)+COUNTIF('Live Ladder'!P:P,L77)+COUNTIF('Live Ladder'!P:P,M77)+COUNTIF('Live Ladder'!P:P,N77)+COUNTIF('Live Ladder'!P:P,O77)+COUNTIF('Live Ladder'!P:P,P77))</f>
        <v/>
      </c>
      <c r="U77" s="15" t="str">
        <f>IF(I77="","",IF(COUNTIF('Live Ladder'!P:P,Engine!Q77)=1,2,IF(COUNTIF('Live Ladder'!Q:Q,Engine!Q77)=1,-2,0)))</f>
        <v/>
      </c>
      <c r="V77" s="15" t="str">
        <f>IF(I77="","",IF(T77=Data!S$3,2,0))</f>
        <v/>
      </c>
      <c r="W77" s="15">
        <f t="shared" si="25"/>
        <v>0</v>
      </c>
      <c r="X77" s="15">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20</v>
      </c>
      <c r="Y77" t="str">
        <f t="shared" si="17"/>
        <v/>
      </c>
      <c r="Z77" t="str">
        <f t="shared" si="26"/>
        <v/>
      </c>
      <c r="AA77" s="161"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
      <c r="A78">
        <v>77</v>
      </c>
      <c r="B78" t="str">
        <f t="shared" si="20"/>
        <v/>
      </c>
      <c r="C78" s="161" t="str">
        <f t="shared" si="22"/>
        <v/>
      </c>
      <c r="D78" t="str">
        <f t="shared" si="21"/>
        <v/>
      </c>
      <c r="E78" s="4" t="str">
        <f t="shared" si="23"/>
        <v/>
      </c>
      <c r="F78" t="str">
        <f t="shared" si="24"/>
        <v/>
      </c>
      <c r="G78">
        <v>15</v>
      </c>
      <c r="H78" t="str">
        <f>Data!A81</f>
        <v>ZZZZZZ Suspend</v>
      </c>
      <c r="I78" s="2" t="str">
        <f>Data!C81</f>
        <v/>
      </c>
      <c r="J78" s="2" t="str">
        <f>Data!D81</f>
        <v/>
      </c>
      <c r="K78" s="2" t="str">
        <f>Data!E81</f>
        <v/>
      </c>
      <c r="L78" s="2" t="str">
        <f>IF(Data!$S$3&lt;Engine!L$1,0,Data!F81)</f>
        <v/>
      </c>
      <c r="M78" s="2" t="str">
        <f>IF(Data!$S$3&lt;Engine!M$1,0,Data!G81)</f>
        <v/>
      </c>
      <c r="N78" s="2" t="str">
        <f>IF(Data!$S$3&lt;Engine!N$1,0,Data!H81)</f>
        <v/>
      </c>
      <c r="O78" s="2" t="str">
        <f>IF(Data!$S$3&lt;Engine!O$1,0,Data!I81)</f>
        <v/>
      </c>
      <c r="P78" s="2" t="str">
        <f>IF(Data!$S$3&lt;Engine!P$1,0,Data!J81)</f>
        <v/>
      </c>
      <c r="Q78" s="17" t="str">
        <f>IF(Data!B81=1,Data!K81,"No Tips")</f>
        <v>No Tips</v>
      </c>
      <c r="R78" s="2" t="str">
        <f>Data!L81</f>
        <v/>
      </c>
      <c r="S78" s="2" t="str">
        <f>Data!M81</f>
        <v/>
      </c>
      <c r="T78" s="15" t="str">
        <f>IF(I78="","",COUNTIF('Live Ladder'!P:P,I78)+COUNTIF('Live Ladder'!P:P,J78)+COUNTIF('Live Ladder'!P:P,K78)+COUNTIF('Live Ladder'!P:P,L78)+COUNTIF('Live Ladder'!P:P,M78)+COUNTIF('Live Ladder'!P:P,N78)+COUNTIF('Live Ladder'!P:P,O78)+COUNTIF('Live Ladder'!P:P,P78))</f>
        <v/>
      </c>
      <c r="U78" s="15" t="str">
        <f>IF(I78="","",IF(COUNTIF('Live Ladder'!P:P,Engine!Q78)=1,2,IF(COUNTIF('Live Ladder'!Q:Q,Engine!Q78)=1,-2,0)))</f>
        <v/>
      </c>
      <c r="V78" s="15" t="str">
        <f>IF(I78="","",IF(T78=Data!S$3,2,0))</f>
        <v/>
      </c>
      <c r="W78" s="15">
        <f t="shared" si="25"/>
        <v>0</v>
      </c>
      <c r="X78" s="15">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20</v>
      </c>
      <c r="Y78" t="str">
        <f t="shared" si="17"/>
        <v/>
      </c>
      <c r="Z78" t="str">
        <f t="shared" si="26"/>
        <v/>
      </c>
      <c r="AA78" s="161"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t="str">
        <f t="shared" si="20"/>
        <v/>
      </c>
      <c r="C79" s="161" t="str">
        <f t="shared" si="22"/>
        <v/>
      </c>
      <c r="D79" t="str">
        <f t="shared" si="21"/>
        <v/>
      </c>
      <c r="E79" s="4" t="str">
        <f t="shared" si="23"/>
        <v/>
      </c>
      <c r="F79" t="str">
        <f t="shared" si="24"/>
        <v/>
      </c>
      <c r="G79">
        <v>11</v>
      </c>
      <c r="H79" t="str">
        <f>Data!A85</f>
        <v>ZZZZZZ Suspend</v>
      </c>
      <c r="I79" s="2" t="str">
        <f>Data!C85</f>
        <v/>
      </c>
      <c r="J79" s="2" t="str">
        <f>Data!D85</f>
        <v/>
      </c>
      <c r="K79" s="2" t="str">
        <f>Data!E85</f>
        <v/>
      </c>
      <c r="L79" s="2" t="str">
        <f>IF(Data!$S$3&lt;Engine!L$1,0,Data!F85)</f>
        <v/>
      </c>
      <c r="M79" s="2" t="str">
        <f>IF(Data!$S$3&lt;Engine!M$1,0,Data!G85)</f>
        <v/>
      </c>
      <c r="N79" s="2" t="str">
        <f>IF(Data!$S$3&lt;Engine!N$1,0,Data!H85)</f>
        <v/>
      </c>
      <c r="O79" s="2" t="str">
        <f>IF(Data!$S$3&lt;Engine!O$1,0,Data!I85)</f>
        <v/>
      </c>
      <c r="P79" s="2" t="str">
        <f>IF(Data!$S$3&lt;Engine!P$1,0,Data!J85)</f>
        <v/>
      </c>
      <c r="Q79" s="17" t="str">
        <f>IF(Data!B85=1,Data!K85,"No Tips")</f>
        <v>No Tips</v>
      </c>
      <c r="R79" s="2" t="str">
        <f>Data!L85</f>
        <v/>
      </c>
      <c r="S79" s="2" t="str">
        <f>Data!M85</f>
        <v/>
      </c>
      <c r="T79" s="15" t="str">
        <f>IF(I79="","",COUNTIF('Live Ladder'!P:P,I79)+COUNTIF('Live Ladder'!P:P,J79)+COUNTIF('Live Ladder'!P:P,K79)+COUNTIF('Live Ladder'!P:P,L79)+COUNTIF('Live Ladder'!P:P,M79)+COUNTIF('Live Ladder'!P:P,N79)+COUNTIF('Live Ladder'!P:P,O79)+COUNTIF('Live Ladder'!P:P,P79))</f>
        <v/>
      </c>
      <c r="U79" s="15" t="str">
        <f>IF(I79="","",IF(COUNTIF('Live Ladder'!P:P,Engine!Q79)=1,2,IF(COUNTIF('Live Ladder'!Q:Q,Engine!Q79)=1,-2,0)))</f>
        <v/>
      </c>
      <c r="V79" s="15" t="str">
        <f>IF(I79="","",IF(T79=Data!S$3,2,0))</f>
        <v/>
      </c>
      <c r="W79" s="15">
        <f t="shared" si="25"/>
        <v>0</v>
      </c>
      <c r="X79" s="15">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20</v>
      </c>
      <c r="Y79" t="str">
        <f t="shared" si="17"/>
        <v/>
      </c>
      <c r="Z79" t="str">
        <f t="shared" si="26"/>
        <v/>
      </c>
      <c r="AA79" s="161"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
      <c r="A80">
        <v>79</v>
      </c>
      <c r="B80" t="str">
        <f t="shared" si="20"/>
        <v/>
      </c>
      <c r="C80" s="161" t="str">
        <f t="shared" si="22"/>
        <v/>
      </c>
      <c r="D80" t="str">
        <f t="shared" si="21"/>
        <v/>
      </c>
      <c r="E80" s="4" t="str">
        <f t="shared" si="23"/>
        <v/>
      </c>
      <c r="F80" t="str">
        <f t="shared" si="24"/>
        <v/>
      </c>
      <c r="G80">
        <v>14</v>
      </c>
      <c r="H80" t="str">
        <f>Data!A82</f>
        <v>ZZZZZZ Suspend</v>
      </c>
      <c r="I80" s="2" t="str">
        <f>Data!C82</f>
        <v/>
      </c>
      <c r="J80" s="2" t="str">
        <f>Data!D82</f>
        <v/>
      </c>
      <c r="K80" s="2" t="str">
        <f>Data!E82</f>
        <v/>
      </c>
      <c r="L80" s="2" t="str">
        <f>IF(Data!$S$3&lt;Engine!L$1,0,Data!F82)</f>
        <v/>
      </c>
      <c r="M80" s="2" t="str">
        <f>IF(Data!$S$3&lt;Engine!M$1,0,Data!G82)</f>
        <v/>
      </c>
      <c r="N80" s="2" t="str">
        <f>IF(Data!$S$3&lt;Engine!N$1,0,Data!H82)</f>
        <v/>
      </c>
      <c r="O80" s="2" t="str">
        <f>IF(Data!$S$3&lt;Engine!O$1,0,Data!I82)</f>
        <v/>
      </c>
      <c r="P80" s="2" t="str">
        <f>IF(Data!$S$3&lt;Engine!P$1,0,Data!J82)</f>
        <v/>
      </c>
      <c r="Q80" s="17" t="str">
        <f>IF(Data!B82=1,Data!K82,"No Tips")</f>
        <v>No Tips</v>
      </c>
      <c r="R80" s="2" t="str">
        <f>Data!L82</f>
        <v/>
      </c>
      <c r="S80" s="2" t="str">
        <f>Data!M82</f>
        <v/>
      </c>
      <c r="T80" s="15" t="str">
        <f>IF(I80="","",COUNTIF('Live Ladder'!P:P,I80)+COUNTIF('Live Ladder'!P:P,J80)+COUNTIF('Live Ladder'!P:P,K80)+COUNTIF('Live Ladder'!P:P,L80)+COUNTIF('Live Ladder'!P:P,M80)+COUNTIF('Live Ladder'!P:P,N80)+COUNTIF('Live Ladder'!P:P,O80)+COUNTIF('Live Ladder'!P:P,P80))</f>
        <v/>
      </c>
      <c r="U80" s="15" t="str">
        <f>IF(I80="","",IF(COUNTIF('Live Ladder'!P:P,Engine!Q80)=1,2,IF(COUNTIF('Live Ladder'!Q:Q,Engine!Q80)=1,-2,0)))</f>
        <v/>
      </c>
      <c r="V80" s="15" t="str">
        <f>IF(I80="","",IF(T80=Data!S$3,2,0))</f>
        <v/>
      </c>
      <c r="W80" s="15">
        <f t="shared" si="25"/>
        <v>0</v>
      </c>
      <c r="X80" s="15">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20</v>
      </c>
      <c r="Y80" t="str">
        <f t="shared" si="17"/>
        <v/>
      </c>
      <c r="Z80" t="str">
        <f t="shared" si="26"/>
        <v/>
      </c>
      <c r="AA80" s="161"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6"/>
      <c r="AE80" s="16"/>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
      <c r="A81">
        <v>80</v>
      </c>
      <c r="B81" t="str">
        <f t="shared" si="20"/>
        <v/>
      </c>
      <c r="C81" s="161" t="str">
        <f t="shared" si="22"/>
        <v/>
      </c>
      <c r="D81" t="str">
        <f t="shared" si="21"/>
        <v/>
      </c>
      <c r="E81" s="4" t="str">
        <f t="shared" si="23"/>
        <v/>
      </c>
      <c r="F81" t="str">
        <f t="shared" si="24"/>
        <v/>
      </c>
      <c r="G81">
        <v>16</v>
      </c>
      <c r="H81" t="str">
        <f>Data!A80</f>
        <v>ZZZZZZ Suspend</v>
      </c>
      <c r="I81" s="2" t="str">
        <f>Data!C80</f>
        <v/>
      </c>
      <c r="J81" s="2" t="str">
        <f>Data!D80</f>
        <v/>
      </c>
      <c r="K81" s="2" t="str">
        <f>Data!E80</f>
        <v/>
      </c>
      <c r="L81" s="2" t="str">
        <f>IF(Data!$S$3&lt;Engine!L$1,0,Data!F80)</f>
        <v/>
      </c>
      <c r="M81" s="2" t="str">
        <f>IF(Data!$S$3&lt;Engine!M$1,0,Data!G80)</f>
        <v/>
      </c>
      <c r="N81" s="2" t="str">
        <f>IF(Data!$S$3&lt;Engine!N$1,0,Data!H80)</f>
        <v/>
      </c>
      <c r="O81" s="2" t="str">
        <f>IF(Data!$S$3&lt;Engine!O$1,0,Data!I80)</f>
        <v/>
      </c>
      <c r="P81" s="2" t="str">
        <f>IF(Data!$S$3&lt;Engine!P$1,0,Data!J80)</f>
        <v/>
      </c>
      <c r="Q81" s="17" t="str">
        <f>IF(Data!B80=1,Data!K80,"No Tips")</f>
        <v>No Tips</v>
      </c>
      <c r="R81" s="2" t="str">
        <f>Data!L80</f>
        <v/>
      </c>
      <c r="S81" s="2" t="str">
        <f>Data!M80</f>
        <v/>
      </c>
      <c r="T81" s="15" t="str">
        <f>IF(I81="","",COUNTIF('Live Ladder'!P:P,I81)+COUNTIF('Live Ladder'!P:P,J81)+COUNTIF('Live Ladder'!P:P,K81)+COUNTIF('Live Ladder'!P:P,L81)+COUNTIF('Live Ladder'!P:P,M81)+COUNTIF('Live Ladder'!P:P,N81)+COUNTIF('Live Ladder'!P:P,O81)+COUNTIF('Live Ladder'!P:P,P81))</f>
        <v/>
      </c>
      <c r="U81" s="15" t="str">
        <f>IF(I81="","",IF(COUNTIF('Live Ladder'!P:P,Engine!Q81)=1,2,IF(COUNTIF('Live Ladder'!Q:Q,Engine!Q81)=1,-2,0)))</f>
        <v/>
      </c>
      <c r="V81" s="15" t="str">
        <f>IF(I81="","",IF(T81=Data!S$3,2,0))</f>
        <v/>
      </c>
      <c r="W81" s="15">
        <f t="shared" si="25"/>
        <v>0</v>
      </c>
      <c r="X81" s="15">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20</v>
      </c>
      <c r="Y81" t="str">
        <f t="shared" ref="Y81:Y85" si="30">IF(H81="ZZZZZZ Suspend","",R81+W81)</f>
        <v/>
      </c>
      <c r="Z81" t="str">
        <f t="shared" si="26"/>
        <v/>
      </c>
      <c r="AA81" s="161"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
      <c r="A82">
        <v>81</v>
      </c>
      <c r="B82" t="str">
        <f t="shared" si="20"/>
        <v/>
      </c>
      <c r="C82" s="161" t="str">
        <f t="shared" si="22"/>
        <v/>
      </c>
      <c r="D82" t="str">
        <f t="shared" si="21"/>
        <v/>
      </c>
      <c r="E82" s="4" t="str">
        <f t="shared" si="23"/>
        <v/>
      </c>
      <c r="F82" t="str">
        <f t="shared" si="24"/>
        <v/>
      </c>
      <c r="G82">
        <v>18</v>
      </c>
      <c r="H82" t="str">
        <f>Data!A78</f>
        <v>ZZZZZZ Suspend</v>
      </c>
      <c r="I82" s="2" t="str">
        <f>Data!C78</f>
        <v/>
      </c>
      <c r="J82" s="2" t="str">
        <f>Data!D78</f>
        <v/>
      </c>
      <c r="K82" s="2" t="str">
        <f>Data!E78</f>
        <v/>
      </c>
      <c r="L82" s="2" t="str">
        <f>IF(Data!$S$3&lt;Engine!L$1,0,Data!F78)</f>
        <v/>
      </c>
      <c r="M82" s="2" t="str">
        <f>IF(Data!$S$3&lt;Engine!M$1,0,Data!G78)</f>
        <v/>
      </c>
      <c r="N82" s="2" t="str">
        <f>IF(Data!$S$3&lt;Engine!N$1,0,Data!H78)</f>
        <v/>
      </c>
      <c r="O82" s="2" t="str">
        <f>IF(Data!$S$3&lt;Engine!O$1,0,Data!I78)</f>
        <v/>
      </c>
      <c r="P82" s="2" t="str">
        <f>IF(Data!$S$3&lt;Engine!P$1,0,Data!J78)</f>
        <v/>
      </c>
      <c r="Q82" s="17" t="str">
        <f>IF(Data!B78=1,Data!K78,"No Tips")</f>
        <v>No Tips</v>
      </c>
      <c r="R82" s="2" t="str">
        <f>Data!L78</f>
        <v/>
      </c>
      <c r="S82" s="2" t="str">
        <f>Data!M78</f>
        <v/>
      </c>
      <c r="T82" s="15" t="str">
        <f>IF(I82="","",COUNTIF('Live Ladder'!P:P,I82)+COUNTIF('Live Ladder'!P:P,J82)+COUNTIF('Live Ladder'!P:P,K82)+COUNTIF('Live Ladder'!P:P,L82)+COUNTIF('Live Ladder'!P:P,M82)+COUNTIF('Live Ladder'!P:P,N82)+COUNTIF('Live Ladder'!P:P,O82)+COUNTIF('Live Ladder'!P:P,P82))</f>
        <v/>
      </c>
      <c r="U82" s="15" t="str">
        <f>IF(I82="","",IF(COUNTIF('Live Ladder'!P:P,Engine!Q82)=1,2,IF(COUNTIF('Live Ladder'!Q:Q,Engine!Q82)=1,-2,0)))</f>
        <v/>
      </c>
      <c r="V82" s="15" t="str">
        <f>IF(I82="","",IF(T82=Data!S$3,2,0))</f>
        <v/>
      </c>
      <c r="W82" s="15">
        <f t="shared" si="25"/>
        <v>0</v>
      </c>
      <c r="X82" s="15">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20</v>
      </c>
      <c r="Y82" t="str">
        <f t="shared" si="30"/>
        <v/>
      </c>
      <c r="Z82" t="str">
        <f t="shared" si="26"/>
        <v/>
      </c>
      <c r="AA82" s="161"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
      <c r="A83">
        <v>82</v>
      </c>
      <c r="B83" t="str">
        <f t="shared" si="20"/>
        <v/>
      </c>
      <c r="C83" s="161" t="str">
        <f t="shared" si="22"/>
        <v/>
      </c>
      <c r="D83" t="str">
        <f t="shared" si="21"/>
        <v/>
      </c>
      <c r="E83" s="4" t="str">
        <f t="shared" si="23"/>
        <v/>
      </c>
      <c r="F83" t="str">
        <f t="shared" si="24"/>
        <v/>
      </c>
      <c r="G83">
        <v>19</v>
      </c>
      <c r="H83" t="str">
        <f>Data!A77</f>
        <v>ZZZZZZ Suspend</v>
      </c>
      <c r="I83" s="2" t="str">
        <f>Data!C77</f>
        <v/>
      </c>
      <c r="J83" s="2" t="str">
        <f>Data!D77</f>
        <v/>
      </c>
      <c r="K83" s="2" t="str">
        <f>Data!E77</f>
        <v/>
      </c>
      <c r="L83" s="2" t="str">
        <f>IF(Data!$S$3&lt;Engine!L$1,0,Data!F77)</f>
        <v/>
      </c>
      <c r="M83" s="2" t="str">
        <f>IF(Data!$S$3&lt;Engine!M$1,0,Data!G77)</f>
        <v/>
      </c>
      <c r="N83" s="2" t="str">
        <f>IF(Data!$S$3&lt;Engine!N$1,0,Data!H77)</f>
        <v/>
      </c>
      <c r="O83" s="2" t="str">
        <f>IF(Data!$S$3&lt;Engine!O$1,0,Data!I77)</f>
        <v/>
      </c>
      <c r="P83" s="2" t="str">
        <f>IF(Data!$S$3&lt;Engine!P$1,0,Data!J77)</f>
        <v/>
      </c>
      <c r="Q83" s="17" t="str">
        <f>IF(Data!B77=1,Data!K77,"No Tips")</f>
        <v>No Tips</v>
      </c>
      <c r="R83" s="2" t="str">
        <f>Data!L77</f>
        <v/>
      </c>
      <c r="S83" s="2" t="str">
        <f>Data!M77</f>
        <v/>
      </c>
      <c r="T83" s="15" t="str">
        <f>IF(I83="","",COUNTIF('Live Ladder'!P:P,I83)+COUNTIF('Live Ladder'!P:P,J83)+COUNTIF('Live Ladder'!P:P,K83)+COUNTIF('Live Ladder'!P:P,L83)+COUNTIF('Live Ladder'!P:P,M83)+COUNTIF('Live Ladder'!P:P,N83)+COUNTIF('Live Ladder'!P:P,O83)+COUNTIF('Live Ladder'!P:P,P83))</f>
        <v/>
      </c>
      <c r="U83" s="15" t="str">
        <f>IF(I83="","",IF(COUNTIF('Live Ladder'!P:P,Engine!Q83)=1,2,IF(COUNTIF('Live Ladder'!Q:Q,Engine!Q83)=1,-2,0)))</f>
        <v/>
      </c>
      <c r="V83" s="15" t="str">
        <f>IF(I83="","",IF(T83=Data!S$3,2,0))</f>
        <v/>
      </c>
      <c r="W83" s="15">
        <f t="shared" si="25"/>
        <v>0</v>
      </c>
      <c r="X83" s="15">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20</v>
      </c>
      <c r="Y83" t="str">
        <f t="shared" si="30"/>
        <v/>
      </c>
      <c r="Z83" t="str">
        <f t="shared" si="26"/>
        <v/>
      </c>
      <c r="AA83" s="161"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
      <c r="A84">
        <v>83</v>
      </c>
      <c r="B84" t="str">
        <f t="shared" si="20"/>
        <v/>
      </c>
      <c r="C84" s="161" t="str">
        <f t="shared" si="22"/>
        <v/>
      </c>
      <c r="D84" t="str">
        <f t="shared" si="21"/>
        <v/>
      </c>
      <c r="E84" s="4"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7" t="str">
        <f>IF(Data!B83=1,Data!K83,"No Tips")</f>
        <v>No Tips</v>
      </c>
      <c r="R84" s="2" t="str">
        <f>Data!L83</f>
        <v/>
      </c>
      <c r="S84" s="2" t="str">
        <f>Data!M83</f>
        <v/>
      </c>
      <c r="T84" s="15" t="str">
        <f>IF(I84="","",COUNTIF('Live Ladder'!P:P,I84)+COUNTIF('Live Ladder'!P:P,J84)+COUNTIF('Live Ladder'!P:P,K84)+COUNTIF('Live Ladder'!P:P,L84)+COUNTIF('Live Ladder'!P:P,M84)+COUNTIF('Live Ladder'!P:P,N84)+COUNTIF('Live Ladder'!P:P,O84)+COUNTIF('Live Ladder'!P:P,P84))</f>
        <v/>
      </c>
      <c r="U84" s="15" t="str">
        <f>IF(I84="","",IF(COUNTIF('Live Ladder'!P:P,Engine!Q84)=1,2,IF(COUNTIF('Live Ladder'!Q:Q,Engine!Q84)=1,-2,0)))</f>
        <v/>
      </c>
      <c r="V84" s="15" t="str">
        <f>IF(I84="","",IF(T84=Data!S$3,2,0))</f>
        <v/>
      </c>
      <c r="W84" s="15">
        <f t="shared" si="25"/>
        <v>0</v>
      </c>
      <c r="X84" s="15">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20</v>
      </c>
      <c r="Y84" t="str">
        <f t="shared" si="30"/>
        <v/>
      </c>
      <c r="Z84" t="str">
        <f t="shared" si="26"/>
        <v/>
      </c>
      <c r="AA84" s="161"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
      <c r="A85">
        <v>84</v>
      </c>
      <c r="B85" t="str">
        <f t="shared" si="20"/>
        <v/>
      </c>
      <c r="C85" s="161" t="str">
        <f t="shared" si="22"/>
        <v/>
      </c>
      <c r="D85" t="str">
        <f t="shared" si="21"/>
        <v/>
      </c>
      <c r="E85" s="4"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7" t="str">
        <f>IF(Data!B86=1,Data!K86,"No Tips")</f>
        <v>No Tips</v>
      </c>
      <c r="R85" s="2" t="str">
        <f>Data!L86</f>
        <v/>
      </c>
      <c r="S85" s="2" t="str">
        <f>Data!M86</f>
        <v/>
      </c>
      <c r="T85" s="15" t="str">
        <f>IF(I85="","",COUNTIF('Live Ladder'!P:P,I85)+COUNTIF('Live Ladder'!P:P,J85)+COUNTIF('Live Ladder'!P:P,K85)+COUNTIF('Live Ladder'!P:P,L85)+COUNTIF('Live Ladder'!P:P,M85)+COUNTIF('Live Ladder'!P:P,N85)+COUNTIF('Live Ladder'!P:P,O85)+COUNTIF('Live Ladder'!P:P,P85))</f>
        <v/>
      </c>
      <c r="U85" s="15" t="str">
        <f>IF(I85="","",IF(COUNTIF('Live Ladder'!P:P,Engine!Q85)=1,2,IF(COUNTIF('Live Ladder'!Q:Q,Engine!Q85)=1,-2,0)))</f>
        <v/>
      </c>
      <c r="V85" s="15" t="str">
        <f>IF(I85="","",IF(T85=Data!S$3,2,0))</f>
        <v/>
      </c>
      <c r="W85" s="15">
        <f t="shared" si="25"/>
        <v>0</v>
      </c>
      <c r="X85" s="15">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20</v>
      </c>
      <c r="Y85" t="str">
        <f t="shared" si="30"/>
        <v/>
      </c>
      <c r="Z85" t="str">
        <f t="shared" si="26"/>
        <v/>
      </c>
      <c r="AA85" s="161"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61" t="str">
        <f t="shared" ref="C86:C92" si="31">IF(H86="ZZZZZZ Suspend","",R86+(S86/100000)+(G86/1000000000))</f>
        <v/>
      </c>
      <c r="D86" t="str">
        <f t="shared" si="21"/>
        <v/>
      </c>
      <c r="E86" s="4"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7" t="str">
        <f>IF(Data!B88=1,Data!K88,"No Tips")</f>
        <v>No Tips</v>
      </c>
      <c r="R86" s="2" t="str">
        <f>Data!L88</f>
        <v/>
      </c>
      <c r="S86" s="2" t="str">
        <f>Data!M88</f>
        <v/>
      </c>
      <c r="T86" s="15" t="str">
        <f>IF(I86="","",COUNTIF('Live Ladder'!P:P,I86)+COUNTIF('Live Ladder'!P:P,J86)+COUNTIF('Live Ladder'!P:P,K86)+COUNTIF('Live Ladder'!P:P,L86)+COUNTIF('Live Ladder'!P:P,M86)+COUNTIF('Live Ladder'!P:P,N86)+COUNTIF('Live Ladder'!P:P,O86)+COUNTIF('Live Ladder'!P:P,P86))</f>
        <v/>
      </c>
      <c r="U86" s="15" t="str">
        <f>IF(I86="","",IF(COUNTIF('Live Ladder'!P:P,Engine!Q86)=1,2,IF(COUNTIF('Live Ladder'!Q:Q,Engine!Q86)=1,-2,0)))</f>
        <v/>
      </c>
      <c r="V86" s="15" t="str">
        <f>IF(I86="","",IF(T86=Data!S$3,2,0))</f>
        <v/>
      </c>
      <c r="W86" s="15">
        <f t="shared" ref="W86:W92" si="34">IF(I86="",AD$2,SUM(T86:V86))</f>
        <v>0</v>
      </c>
      <c r="X86" s="15">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20</v>
      </c>
      <c r="Y86" t="str">
        <f t="shared" ref="Y86:Y92" si="35">IF(H86="ZZZZZZ Suspend","",R86+W86)</f>
        <v/>
      </c>
      <c r="Z86" t="str">
        <f t="shared" ref="Z86:Z92" si="36">IF(H86="ZZZZZZ Suspend","",S86+X86)</f>
        <v/>
      </c>
      <c r="AA86" s="161"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61" t="str">
        <f t="shared" si="31"/>
        <v/>
      </c>
      <c r="D87" t="str">
        <f t="shared" si="21"/>
        <v/>
      </c>
      <c r="E87" s="4"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7" t="str">
        <f>IF(Data!B89=1,Data!K89,"No Tips")</f>
        <v>No Tips</v>
      </c>
      <c r="R87" s="2" t="str">
        <f>Data!L89</f>
        <v/>
      </c>
      <c r="S87" s="2" t="str">
        <f>Data!M89</f>
        <v/>
      </c>
      <c r="T87" s="15" t="str">
        <f>IF(I87="","",COUNTIF('Live Ladder'!P:P,I87)+COUNTIF('Live Ladder'!P:P,J87)+COUNTIF('Live Ladder'!P:P,K87)+COUNTIF('Live Ladder'!P:P,L87)+COUNTIF('Live Ladder'!P:P,M87)+COUNTIF('Live Ladder'!P:P,N87)+COUNTIF('Live Ladder'!P:P,O87)+COUNTIF('Live Ladder'!P:P,P87))</f>
        <v/>
      </c>
      <c r="U87" s="15" t="str">
        <f>IF(I87="","",IF(COUNTIF('Live Ladder'!P:P,Engine!Q87)=1,2,IF(COUNTIF('Live Ladder'!Q:Q,Engine!Q87)=1,-2,0)))</f>
        <v/>
      </c>
      <c r="V87" s="15" t="str">
        <f>IF(I87="","",IF(T87=Data!S$3,2,0))</f>
        <v/>
      </c>
      <c r="W87" s="15">
        <f t="shared" si="34"/>
        <v>0</v>
      </c>
      <c r="X87" s="15">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20</v>
      </c>
      <c r="Y87" t="str">
        <f t="shared" si="35"/>
        <v/>
      </c>
      <c r="Z87" t="str">
        <f t="shared" si="36"/>
        <v/>
      </c>
      <c r="AA87" s="161"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61" t="str">
        <f t="shared" si="31"/>
        <v/>
      </c>
      <c r="D88" t="str">
        <f t="shared" si="21"/>
        <v/>
      </c>
      <c r="E88" s="4"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7" t="str">
        <f>IF(Data!B90=1,Data!K90,"No Tips")</f>
        <v>No Tips</v>
      </c>
      <c r="R88" s="2" t="str">
        <f>Data!L90</f>
        <v/>
      </c>
      <c r="S88" s="2" t="str">
        <f>Data!M90</f>
        <v/>
      </c>
      <c r="T88" s="15" t="str">
        <f>IF(I88="","",COUNTIF('Live Ladder'!P:P,I88)+COUNTIF('Live Ladder'!P:P,J88)+COUNTIF('Live Ladder'!P:P,K88)+COUNTIF('Live Ladder'!P:P,L88)+COUNTIF('Live Ladder'!P:P,M88)+COUNTIF('Live Ladder'!P:P,N88)+COUNTIF('Live Ladder'!P:P,O88)+COUNTIF('Live Ladder'!P:P,P88))</f>
        <v/>
      </c>
      <c r="U88" s="15" t="str">
        <f>IF(I88="","",IF(COUNTIF('Live Ladder'!P:P,Engine!Q88)=1,2,IF(COUNTIF('Live Ladder'!Q:Q,Engine!Q88)=1,-2,0)))</f>
        <v/>
      </c>
      <c r="V88" s="15" t="str">
        <f>IF(I88="","",IF(T88=Data!S$3,2,0))</f>
        <v/>
      </c>
      <c r="W88" s="15">
        <f t="shared" si="34"/>
        <v>0</v>
      </c>
      <c r="X88" s="15">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20</v>
      </c>
      <c r="Y88" t="str">
        <f t="shared" si="35"/>
        <v/>
      </c>
      <c r="Z88" t="str">
        <f t="shared" si="36"/>
        <v/>
      </c>
      <c r="AA88" s="161"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61" t="str">
        <f t="shared" si="31"/>
        <v/>
      </c>
      <c r="D89" t="str">
        <f t="shared" si="21"/>
        <v/>
      </c>
      <c r="E89" s="4"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7" t="str">
        <f>IF(Data!B92=1,Data!K92,"No Tips")</f>
        <v>No Tips</v>
      </c>
      <c r="R89" s="2" t="str">
        <f>Data!L92</f>
        <v/>
      </c>
      <c r="S89" s="2" t="str">
        <f>Data!M92</f>
        <v/>
      </c>
      <c r="T89" s="15" t="str">
        <f>IF(I89="","",COUNTIF('Live Ladder'!P:P,I89)+COUNTIF('Live Ladder'!P:P,J89)+COUNTIF('Live Ladder'!P:P,K89)+COUNTIF('Live Ladder'!P:P,L89)+COUNTIF('Live Ladder'!P:P,M89)+COUNTIF('Live Ladder'!P:P,N89)+COUNTIF('Live Ladder'!P:P,O89)+COUNTIF('Live Ladder'!P:P,P89))</f>
        <v/>
      </c>
      <c r="U89" s="15" t="str">
        <f>IF(I89="","",IF(COUNTIF('Live Ladder'!P:P,Engine!Q89)=1,2,IF(COUNTIF('Live Ladder'!Q:Q,Engine!Q89)=1,-2,0)))</f>
        <v/>
      </c>
      <c r="V89" s="15" t="str">
        <f>IF(I89="","",IF(T89=Data!S$3,2,0))</f>
        <v/>
      </c>
      <c r="W89" s="15">
        <f t="shared" si="34"/>
        <v>0</v>
      </c>
      <c r="X89" s="15">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20</v>
      </c>
      <c r="Y89" t="str">
        <f t="shared" si="35"/>
        <v/>
      </c>
      <c r="Z89" t="str">
        <f t="shared" si="36"/>
        <v/>
      </c>
      <c r="AA89" s="161"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61" t="str">
        <f t="shared" si="31"/>
        <v/>
      </c>
      <c r="D90" t="str">
        <f t="shared" si="21"/>
        <v/>
      </c>
      <c r="E90" s="4"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7" t="str">
        <f>IF(Data!B93=1,Data!K93,"No Tips")</f>
        <v>No Tips</v>
      </c>
      <c r="R90" s="2" t="str">
        <f>Data!L93</f>
        <v/>
      </c>
      <c r="S90" s="2" t="str">
        <f>Data!M93</f>
        <v/>
      </c>
      <c r="T90" s="15" t="str">
        <f>IF(I90="","",COUNTIF('Live Ladder'!P:P,I90)+COUNTIF('Live Ladder'!P:P,J90)+COUNTIF('Live Ladder'!P:P,K90)+COUNTIF('Live Ladder'!P:P,L90)+COUNTIF('Live Ladder'!P:P,M90)+COUNTIF('Live Ladder'!P:P,N90)+COUNTIF('Live Ladder'!P:P,O90)+COUNTIF('Live Ladder'!P:P,P90))</f>
        <v/>
      </c>
      <c r="U90" s="15" t="str">
        <f>IF(I90="","",IF(COUNTIF('Live Ladder'!P:P,Engine!Q90)=1,2,IF(COUNTIF('Live Ladder'!Q:Q,Engine!Q90)=1,-2,0)))</f>
        <v/>
      </c>
      <c r="V90" s="15" t="str">
        <f>IF(I90="","",IF(T90=Data!S$3,2,0))</f>
        <v/>
      </c>
      <c r="W90" s="15">
        <f t="shared" si="34"/>
        <v>0</v>
      </c>
      <c r="X90" s="15">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20</v>
      </c>
      <c r="Y90" t="str">
        <f t="shared" si="35"/>
        <v/>
      </c>
      <c r="Z90" t="str">
        <f t="shared" si="36"/>
        <v/>
      </c>
      <c r="AA90" s="161"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61" t="str">
        <f t="shared" si="31"/>
        <v/>
      </c>
      <c r="D91" t="str">
        <f t="shared" si="21"/>
        <v/>
      </c>
      <c r="E91" s="4"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7" t="str">
        <f>IF(Data!B94=1,Data!K94,"No Tips")</f>
        <v>No Tips</v>
      </c>
      <c r="R91" s="2" t="str">
        <f>Data!L94</f>
        <v/>
      </c>
      <c r="S91" s="2" t="str">
        <f>Data!M94</f>
        <v/>
      </c>
      <c r="T91" s="15" t="str">
        <f>IF(I91="","",COUNTIF('Live Ladder'!P:P,I91)+COUNTIF('Live Ladder'!P:P,J91)+COUNTIF('Live Ladder'!P:P,K91)+COUNTIF('Live Ladder'!P:P,L91)+COUNTIF('Live Ladder'!P:P,M91)+COUNTIF('Live Ladder'!P:P,N91)+COUNTIF('Live Ladder'!P:P,O91)+COUNTIF('Live Ladder'!P:P,P91))</f>
        <v/>
      </c>
      <c r="U91" s="15" t="str">
        <f>IF(I91="","",IF(COUNTIF('Live Ladder'!P:P,Engine!Q91)=1,2,IF(COUNTIF('Live Ladder'!Q:Q,Engine!Q91)=1,-2,0)))</f>
        <v/>
      </c>
      <c r="V91" s="15" t="str">
        <f>IF(I91="","",IF(T91=Data!S$3,2,0))</f>
        <v/>
      </c>
      <c r="W91" s="15">
        <f t="shared" si="34"/>
        <v>0</v>
      </c>
      <c r="X91" s="15">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20</v>
      </c>
      <c r="Y91" t="str">
        <f t="shared" si="35"/>
        <v/>
      </c>
      <c r="Z91" t="str">
        <f t="shared" si="36"/>
        <v/>
      </c>
      <c r="AA91" s="161"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61" t="str">
        <f t="shared" si="31"/>
        <v/>
      </c>
      <c r="D92" t="str">
        <f t="shared" si="21"/>
        <v/>
      </c>
      <c r="E92" s="4"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7" t="str">
        <f>IF(Data!B95=1,Data!K95,"No Tips")</f>
        <v>No Tips</v>
      </c>
      <c r="R92" s="2" t="str">
        <f>Data!L95</f>
        <v/>
      </c>
      <c r="S92" s="2" t="str">
        <f>Data!M95</f>
        <v/>
      </c>
      <c r="T92" s="15" t="str">
        <f>IF(I92="","",COUNTIF('Live Ladder'!P:P,I92)+COUNTIF('Live Ladder'!P:P,J92)+COUNTIF('Live Ladder'!P:P,K92)+COUNTIF('Live Ladder'!P:P,L92)+COUNTIF('Live Ladder'!P:P,M92)+COUNTIF('Live Ladder'!P:P,N92)+COUNTIF('Live Ladder'!P:P,O92)+COUNTIF('Live Ladder'!P:P,P92))</f>
        <v/>
      </c>
      <c r="U92" s="15" t="str">
        <f>IF(I92="","",IF(COUNTIF('Live Ladder'!P:P,Engine!Q92)=1,2,IF(COUNTIF('Live Ladder'!Q:Q,Engine!Q92)=1,-2,0)))</f>
        <v/>
      </c>
      <c r="V92" s="15" t="str">
        <f>IF(I92="","",IF(T92=Data!S$3,2,0))</f>
        <v/>
      </c>
      <c r="W92" s="15">
        <f t="shared" si="34"/>
        <v>0</v>
      </c>
      <c r="X92" s="15">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20</v>
      </c>
      <c r="Y92" t="str">
        <f t="shared" si="35"/>
        <v/>
      </c>
      <c r="Z92" t="str">
        <f t="shared" si="36"/>
        <v/>
      </c>
      <c r="AA92" s="161"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61" t="str">
        <f t="shared" ref="C93:C94" si="40">IF(H93="ZZZZZZ Suspend","",R93+(S93/100000)+(G93/1000000000))</f>
        <v/>
      </c>
      <c r="D93" t="str">
        <f t="shared" si="21"/>
        <v/>
      </c>
      <c r="E93" s="4"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7" t="str">
        <f>IF(Data!B87=1,Data!K87,"No Tips")</f>
        <v>No Tips</v>
      </c>
      <c r="R93" s="2" t="str">
        <f>Data!L87</f>
        <v/>
      </c>
      <c r="S93" s="2" t="str">
        <f>Data!M87</f>
        <v/>
      </c>
      <c r="T93" s="15" t="str">
        <f>IF(I93="","",COUNTIF('Live Ladder'!P:P,I93)+COUNTIF('Live Ladder'!P:P,J93)+COUNTIF('Live Ladder'!P:P,K93)+COUNTIF('Live Ladder'!P:P,L93)+COUNTIF('Live Ladder'!P:P,M93)+COUNTIF('Live Ladder'!P:P,N93)+COUNTIF('Live Ladder'!P:P,O93)+COUNTIF('Live Ladder'!P:P,P93))</f>
        <v/>
      </c>
      <c r="U93" s="15" t="str">
        <f>IF(I93="","",IF(COUNTIF('Live Ladder'!P:P,Engine!Q93)=1,2,IF(COUNTIF('Live Ladder'!Q:Q,Engine!Q93)=1,-2,0)))</f>
        <v/>
      </c>
      <c r="V93" s="15" t="str">
        <f>IF(I93="","",IF(T93=Data!S$3,2,0))</f>
        <v/>
      </c>
      <c r="W93" s="15">
        <f t="shared" ref="W93:W94" si="43">IF(I93="",AD$2,SUM(T93:V93))</f>
        <v>0</v>
      </c>
      <c r="X93" s="15">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20</v>
      </c>
      <c r="Y93" t="str">
        <f t="shared" ref="Y93:Y94" si="44">IF(H93="ZZZZZZ Suspend","",R93+W93)</f>
        <v/>
      </c>
      <c r="Z93" t="str">
        <f t="shared" ref="Z93:Z94" si="45">IF(H93="ZZZZZZ Suspend","",S93+X93)</f>
        <v/>
      </c>
      <c r="AA93" s="161"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61" t="str">
        <f t="shared" si="40"/>
        <v/>
      </c>
      <c r="D94" t="str">
        <f t="shared" si="21"/>
        <v/>
      </c>
      <c r="E94" s="4"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7" t="str">
        <f>IF(Data!B91=1,Data!K91,"No Tips")</f>
        <v>No Tips</v>
      </c>
      <c r="R94" s="2" t="str">
        <f>Data!L91</f>
        <v/>
      </c>
      <c r="S94" s="2" t="str">
        <f>Data!M91</f>
        <v/>
      </c>
      <c r="T94" s="15" t="str">
        <f>IF(I94="","",COUNTIF('Live Ladder'!P:P,I94)+COUNTIF('Live Ladder'!P:P,J94)+COUNTIF('Live Ladder'!P:P,K94)+COUNTIF('Live Ladder'!P:P,L94)+COUNTIF('Live Ladder'!P:P,M94)+COUNTIF('Live Ladder'!P:P,N94)+COUNTIF('Live Ladder'!P:P,O94)+COUNTIF('Live Ladder'!P:P,P94))</f>
        <v/>
      </c>
      <c r="U94" s="15" t="str">
        <f>IF(I94="","",IF(COUNTIF('Live Ladder'!P:P,Engine!Q94)=1,2,IF(COUNTIF('Live Ladder'!Q:Q,Engine!Q94)=1,-2,0)))</f>
        <v/>
      </c>
      <c r="V94" s="15" t="str">
        <f>IF(I94="","",IF(T94=Data!S$3,2,0))</f>
        <v/>
      </c>
      <c r="W94" s="15">
        <f t="shared" si="43"/>
        <v>0</v>
      </c>
      <c r="X94" s="15">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20</v>
      </c>
      <c r="Y94" t="str">
        <f t="shared" si="44"/>
        <v/>
      </c>
      <c r="Z94" t="str">
        <f t="shared" si="45"/>
        <v/>
      </c>
      <c r="AA94" s="161"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71</v>
      </c>
      <c r="C95" s="161">
        <f t="shared" si="22"/>
        <v>32.013910999000004</v>
      </c>
      <c r="D95">
        <f>RANK(AA95,AA:AA)</f>
        <v>72</v>
      </c>
      <c r="E95" s="4" t="str">
        <f>IF(H95="ZZZZZZ Suspend","",IF(D95&lt;B95,AD$3,IF(D95&gt;B95,AD$4,AD$5)))</f>
        <v>q</v>
      </c>
      <c r="F95">
        <f>IF(D95&gt;B95,D95-B95,IF(D95&lt;B95,B95-D95,""))</f>
        <v>1</v>
      </c>
      <c r="G95">
        <v>999</v>
      </c>
      <c r="H95" t="str">
        <f>Data!A96</f>
        <v>***Footy Tipper***</v>
      </c>
      <c r="I95" s="2" t="str">
        <f>Data!C96</f>
        <v>Rabbitohs</v>
      </c>
      <c r="J95" s="2" t="str">
        <f>Data!D96</f>
        <v>Storm</v>
      </c>
      <c r="K95" s="2" t="str">
        <f>Data!E96</f>
        <v>Titans</v>
      </c>
      <c r="L95" s="2" t="str">
        <f>Data!F96</f>
        <v>Panthers</v>
      </c>
      <c r="M95" s="2" t="str">
        <f>Data!G96</f>
        <v>Eels</v>
      </c>
      <c r="N95" s="2" t="str">
        <f>Data!H96</f>
        <v>Knights</v>
      </c>
      <c r="O95" s="2" t="str">
        <f>Data!I96</f>
        <v>Warriors</v>
      </c>
      <c r="P95" s="2" t="str">
        <f>Data!J96</f>
        <v>Dragons</v>
      </c>
      <c r="Q95" s="2" t="str">
        <f>Data!K96</f>
        <v>Eels</v>
      </c>
      <c r="R95" s="2">
        <f>Data!L96</f>
        <v>32</v>
      </c>
      <c r="S95" s="2">
        <f>Data!M96</f>
        <v>1391</v>
      </c>
      <c r="T95" s="15">
        <f>IF(I95=AB95,AB$2,COUNTIF('Live Ladder'!P:P,I95)+COUNTIF('Live Ladder'!P:P,J95)+COUNTIF('Live Ladder'!P:P,K95)+COUNTIF('Live Ladder'!P:P,L95)+COUNTIF('Live Ladder'!P:P,M95)+COUNTIF('Live Ladder'!P:P,N95)+COUNTIF('Live Ladder'!P:P,O95)+COUNTIF('Live Ladder'!P:P,P95))</f>
        <v>1</v>
      </c>
      <c r="U95" s="15">
        <f>IF(COUNTIF('Live Ladder'!P:P,Engine!Q95)=1,2,IF(COUNTIF('Live Ladder'!Q:Q,Engine!Q95)=1,-2,0))</f>
        <v>0</v>
      </c>
      <c r="V95" s="8">
        <f>IF(T95=Data!S$3,2,0)</f>
        <v>0</v>
      </c>
      <c r="X95" s="15">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34</v>
      </c>
      <c r="Y95">
        <f>R95+SUM(T95:V95)</f>
        <v>33</v>
      </c>
      <c r="Z95">
        <f>S95+X95</f>
        <v>1425</v>
      </c>
      <c r="AA95" s="161">
        <f t="shared" si="27"/>
        <v>33.014250998999998</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34</v>
      </c>
      <c r="AF95">
        <f>IF(I95="","",IF(Q95="",0,IF(AND(Q95&gt;0,COUNTIF('Stats Calculator'!$T$24:$AA$24,Q95)=1),HLOOKUP(Q95,'Stats Calculator'!$T$24:$AA$27,4,FALSE),IF(AND(Q95&gt;0,COUNTIF('Stats Calculator'!$T$25:$AA$25,Q95)=1),HLOOKUP(Q95,'Stats Calculator'!$T$25:$AA$27,3,FALSE)))))</f>
        <v>5</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9">IF(I95="","",SUM(AG95:AK95))</f>
        <v>12</v>
      </c>
    </row>
    <row r="97" spans="3:3" x14ac:dyDescent="0.3">
      <c r="C97" s="161" t="s">
        <v>62</v>
      </c>
    </row>
  </sheetData>
  <autoFilter ref="B1:AD95" xr:uid="{00000000-0009-0000-0000-000002000000}"/>
  <sortState xmlns:xlrd2="http://schemas.microsoft.com/office/spreadsheetml/2017/richdata2" ref="G2:S94">
    <sortCondition ref="H2:H94"/>
  </sortState>
  <conditionalFormatting sqref="I2:L94 Q2:Q94 I95:S95">
    <cfRule type="cellIs" dxfId="8" priority="83" stopIfTrue="1" operator="equal">
      <formula>$Y$10</formula>
    </cfRule>
    <cfRule type="cellIs" dxfId="7" priority="84" stopIfTrue="1" operator="equal">
      <formula>$Y$11</formula>
    </cfRule>
    <cfRule type="cellIs" dxfId="6" priority="85" stopIfTrue="1" operator="equal">
      <formula>"ERROR"</formula>
    </cfRule>
  </conditionalFormatting>
  <conditionalFormatting sqref="S2:S94">
    <cfRule type="cellIs" dxfId="5" priority="73" stopIfTrue="1" operator="equal">
      <formula>$Y$10</formula>
    </cfRule>
    <cfRule type="cellIs" dxfId="4" priority="74" stopIfTrue="1" operator="equal">
      <formula>$Y$11</formula>
    </cfRule>
    <cfRule type="cellIs" dxfId="3" priority="75" stopIfTrue="1" operator="equal">
      <formula>"ERROR"</formula>
    </cfRule>
  </conditionalFormatting>
  <conditionalFormatting sqref="M2:P94">
    <cfRule type="cellIs" dxfId="2" priority="55" stopIfTrue="1" operator="equal">
      <formula>$Y$10</formula>
    </cfRule>
    <cfRule type="cellIs" dxfId="1" priority="56" stopIfTrue="1" operator="equal">
      <formula>$Y$11</formula>
    </cfRule>
    <cfRule type="cellIs" dxfId="0" priority="57"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128</v>
      </c>
      <c r="D3" t="s">
        <v>126</v>
      </c>
      <c r="E3" t="s">
        <v>152</v>
      </c>
      <c r="F3" t="s">
        <v>122</v>
      </c>
      <c r="G3" t="s">
        <v>147</v>
      </c>
      <c r="H3" t="s">
        <v>148</v>
      </c>
      <c r="I3" t="s">
        <v>131</v>
      </c>
      <c r="J3" t="s">
        <v>123</v>
      </c>
      <c r="K3" t="s">
        <v>122</v>
      </c>
      <c r="L3">
        <v>54</v>
      </c>
      <c r="M3">
        <v>1489</v>
      </c>
      <c r="N3" t="s">
        <v>153</v>
      </c>
      <c r="O3" t="s">
        <v>130</v>
      </c>
      <c r="P3" t="s">
        <v>128</v>
      </c>
      <c r="Q3" t="s">
        <v>154</v>
      </c>
      <c r="R3">
        <v>8</v>
      </c>
      <c r="S3">
        <v>8</v>
      </c>
    </row>
    <row r="4" spans="1:19" x14ac:dyDescent="0.3">
      <c r="A4" t="s">
        <v>155</v>
      </c>
      <c r="B4">
        <v>1</v>
      </c>
      <c r="C4" t="s">
        <v>128</v>
      </c>
      <c r="D4" t="s">
        <v>126</v>
      </c>
      <c r="E4" t="s">
        <v>152</v>
      </c>
      <c r="F4" t="s">
        <v>122</v>
      </c>
      <c r="G4" t="s">
        <v>147</v>
      </c>
      <c r="H4" t="s">
        <v>148</v>
      </c>
      <c r="I4" t="s">
        <v>131</v>
      </c>
      <c r="J4" t="s">
        <v>123</v>
      </c>
      <c r="K4" t="s">
        <v>147</v>
      </c>
      <c r="L4">
        <v>47</v>
      </c>
      <c r="M4">
        <v>1449</v>
      </c>
      <c r="N4" t="s">
        <v>156</v>
      </c>
      <c r="O4" t="s">
        <v>126</v>
      </c>
      <c r="P4" t="s">
        <v>124</v>
      </c>
      <c r="Q4" t="s">
        <v>157</v>
      </c>
    </row>
    <row r="5" spans="1:19" x14ac:dyDescent="0.3">
      <c r="A5" t="s">
        <v>158</v>
      </c>
      <c r="B5">
        <v>1</v>
      </c>
      <c r="C5" t="s">
        <v>128</v>
      </c>
      <c r="D5" t="s">
        <v>126</v>
      </c>
      <c r="E5" t="s">
        <v>152</v>
      </c>
      <c r="F5" t="s">
        <v>122</v>
      </c>
      <c r="G5" t="s">
        <v>147</v>
      </c>
      <c r="H5" t="s">
        <v>148</v>
      </c>
      <c r="I5" t="s">
        <v>131</v>
      </c>
      <c r="J5" t="s">
        <v>123</v>
      </c>
      <c r="K5" t="s">
        <v>147</v>
      </c>
      <c r="L5">
        <v>49</v>
      </c>
      <c r="M5">
        <v>1462</v>
      </c>
      <c r="N5" t="s">
        <v>159</v>
      </c>
      <c r="O5" t="s">
        <v>125</v>
      </c>
      <c r="P5" t="s">
        <v>152</v>
      </c>
      <c r="Q5" t="s">
        <v>157</v>
      </c>
      <c r="R5" t="s">
        <v>160</v>
      </c>
      <c r="S5">
        <v>74</v>
      </c>
    </row>
    <row r="6" spans="1:19" x14ac:dyDescent="0.3">
      <c r="A6" t="s">
        <v>161</v>
      </c>
      <c r="B6">
        <v>1</v>
      </c>
      <c r="C6" t="s">
        <v>128</v>
      </c>
      <c r="D6" t="s">
        <v>126</v>
      </c>
      <c r="E6" t="s">
        <v>152</v>
      </c>
      <c r="F6" t="s">
        <v>127</v>
      </c>
      <c r="G6" t="s">
        <v>147</v>
      </c>
      <c r="H6" t="s">
        <v>148</v>
      </c>
      <c r="I6" t="s">
        <v>129</v>
      </c>
      <c r="J6" t="s">
        <v>123</v>
      </c>
      <c r="K6" t="s">
        <v>126</v>
      </c>
      <c r="L6">
        <v>43</v>
      </c>
      <c r="M6">
        <v>1368</v>
      </c>
      <c r="N6" t="s">
        <v>162</v>
      </c>
      <c r="O6" t="s">
        <v>122</v>
      </c>
      <c r="P6" t="s">
        <v>127</v>
      </c>
      <c r="Q6" t="s">
        <v>163</v>
      </c>
      <c r="R6" t="s">
        <v>106</v>
      </c>
      <c r="S6">
        <v>69</v>
      </c>
    </row>
    <row r="7" spans="1:19" x14ac:dyDescent="0.3">
      <c r="A7" t="s">
        <v>164</v>
      </c>
      <c r="B7">
        <v>1</v>
      </c>
      <c r="C7" t="s">
        <v>128</v>
      </c>
      <c r="D7" t="s">
        <v>126</v>
      </c>
      <c r="E7" t="s">
        <v>152</v>
      </c>
      <c r="F7" t="s">
        <v>122</v>
      </c>
      <c r="G7" t="s">
        <v>147</v>
      </c>
      <c r="H7" t="s">
        <v>148</v>
      </c>
      <c r="I7" t="s">
        <v>131</v>
      </c>
      <c r="J7" t="s">
        <v>123</v>
      </c>
      <c r="K7" t="s">
        <v>126</v>
      </c>
      <c r="L7">
        <v>52</v>
      </c>
      <c r="M7">
        <v>1554</v>
      </c>
      <c r="N7" t="s">
        <v>165</v>
      </c>
      <c r="O7" t="s">
        <v>132</v>
      </c>
      <c r="P7" t="s">
        <v>147</v>
      </c>
      <c r="Q7" t="s">
        <v>163</v>
      </c>
      <c r="R7" t="s">
        <v>48</v>
      </c>
      <c r="S7">
        <v>69</v>
      </c>
    </row>
    <row r="8" spans="1:19" x14ac:dyDescent="0.3">
      <c r="A8" t="s">
        <v>166</v>
      </c>
      <c r="B8">
        <v>1</v>
      </c>
      <c r="C8" t="s">
        <v>128</v>
      </c>
      <c r="D8" t="s">
        <v>126</v>
      </c>
      <c r="E8" t="s">
        <v>152</v>
      </c>
      <c r="F8" t="s">
        <v>127</v>
      </c>
      <c r="G8" t="s">
        <v>147</v>
      </c>
      <c r="H8" t="s">
        <v>148</v>
      </c>
      <c r="I8" t="s">
        <v>131</v>
      </c>
      <c r="J8" t="s">
        <v>123</v>
      </c>
      <c r="K8" t="s">
        <v>147</v>
      </c>
      <c r="L8">
        <v>39</v>
      </c>
      <c r="M8">
        <v>1329</v>
      </c>
      <c r="N8" t="s">
        <v>167</v>
      </c>
      <c r="O8" t="s">
        <v>168</v>
      </c>
      <c r="P8" t="s">
        <v>148</v>
      </c>
      <c r="Q8" t="s">
        <v>163</v>
      </c>
    </row>
    <row r="9" spans="1:19" x14ac:dyDescent="0.3">
      <c r="A9" t="s">
        <v>169</v>
      </c>
      <c r="B9">
        <v>1</v>
      </c>
      <c r="C9" t="s">
        <v>128</v>
      </c>
      <c r="D9" t="s">
        <v>126</v>
      </c>
      <c r="E9" t="s">
        <v>152</v>
      </c>
      <c r="F9" t="s">
        <v>122</v>
      </c>
      <c r="G9" t="s">
        <v>147</v>
      </c>
      <c r="H9" t="s">
        <v>148</v>
      </c>
      <c r="I9" t="s">
        <v>131</v>
      </c>
      <c r="J9" t="s">
        <v>123</v>
      </c>
      <c r="K9" t="s">
        <v>126</v>
      </c>
      <c r="L9">
        <v>50</v>
      </c>
      <c r="M9">
        <v>1536</v>
      </c>
      <c r="N9" t="s">
        <v>170</v>
      </c>
      <c r="O9" t="s">
        <v>131</v>
      </c>
      <c r="P9" t="s">
        <v>129</v>
      </c>
      <c r="Q9" t="s">
        <v>171</v>
      </c>
    </row>
    <row r="10" spans="1:19" x14ac:dyDescent="0.3">
      <c r="A10" t="s">
        <v>172</v>
      </c>
      <c r="B10">
        <v>1</v>
      </c>
      <c r="C10" t="s">
        <v>128</v>
      </c>
      <c r="D10" t="s">
        <v>126</v>
      </c>
      <c r="E10" t="s">
        <v>152</v>
      </c>
      <c r="F10" t="s">
        <v>122</v>
      </c>
      <c r="G10" t="s">
        <v>147</v>
      </c>
      <c r="H10" t="s">
        <v>148</v>
      </c>
      <c r="I10" t="s">
        <v>131</v>
      </c>
      <c r="J10" t="s">
        <v>123</v>
      </c>
      <c r="K10" t="s">
        <v>126</v>
      </c>
      <c r="L10">
        <v>46</v>
      </c>
      <c r="M10">
        <v>1469</v>
      </c>
      <c r="N10" t="s">
        <v>173</v>
      </c>
      <c r="O10" t="s">
        <v>123</v>
      </c>
      <c r="P10" t="s">
        <v>133</v>
      </c>
      <c r="Q10" t="s">
        <v>171</v>
      </c>
    </row>
    <row r="11" spans="1:19" x14ac:dyDescent="0.3">
      <c r="A11" t="s">
        <v>174</v>
      </c>
      <c r="B11">
        <v>1</v>
      </c>
      <c r="C11" t="s">
        <v>130</v>
      </c>
      <c r="D11" t="s">
        <v>126</v>
      </c>
      <c r="E11" t="s">
        <v>152</v>
      </c>
      <c r="F11" t="s">
        <v>122</v>
      </c>
      <c r="G11" t="s">
        <v>147</v>
      </c>
      <c r="H11" t="s">
        <v>148</v>
      </c>
      <c r="I11" t="s">
        <v>131</v>
      </c>
      <c r="J11" t="s">
        <v>123</v>
      </c>
      <c r="K11" t="s">
        <v>122</v>
      </c>
      <c r="L11">
        <v>34</v>
      </c>
      <c r="M11">
        <v>1287</v>
      </c>
    </row>
    <row r="12" spans="1:19" x14ac:dyDescent="0.3">
      <c r="A12" t="s">
        <v>175</v>
      </c>
      <c r="B12">
        <v>1</v>
      </c>
      <c r="C12" t="s">
        <v>128</v>
      </c>
      <c r="D12" t="s">
        <v>126</v>
      </c>
      <c r="E12" t="s">
        <v>152</v>
      </c>
      <c r="F12" t="s">
        <v>122</v>
      </c>
      <c r="G12" t="s">
        <v>147</v>
      </c>
      <c r="H12" t="s">
        <v>148</v>
      </c>
      <c r="I12" t="s">
        <v>131</v>
      </c>
      <c r="J12" t="s">
        <v>123</v>
      </c>
      <c r="K12" t="s">
        <v>126</v>
      </c>
      <c r="L12">
        <v>38</v>
      </c>
      <c r="M12">
        <v>1419</v>
      </c>
    </row>
    <row r="13" spans="1:19" x14ac:dyDescent="0.3">
      <c r="A13" t="s">
        <v>176</v>
      </c>
      <c r="B13">
        <v>1</v>
      </c>
      <c r="C13" t="s">
        <v>128</v>
      </c>
      <c r="D13" t="s">
        <v>126</v>
      </c>
      <c r="E13" t="s">
        <v>152</v>
      </c>
      <c r="F13" t="s">
        <v>127</v>
      </c>
      <c r="G13" t="s">
        <v>147</v>
      </c>
      <c r="H13" t="s">
        <v>148</v>
      </c>
      <c r="I13" t="s">
        <v>131</v>
      </c>
      <c r="J13" t="s">
        <v>123</v>
      </c>
      <c r="K13" t="s">
        <v>147</v>
      </c>
      <c r="L13">
        <v>49</v>
      </c>
      <c r="M13">
        <v>1479</v>
      </c>
    </row>
    <row r="14" spans="1:19" x14ac:dyDescent="0.3">
      <c r="A14" t="s">
        <v>177</v>
      </c>
      <c r="B14">
        <v>1</v>
      </c>
      <c r="C14" t="s">
        <v>128</v>
      </c>
      <c r="D14" t="s">
        <v>126</v>
      </c>
      <c r="E14" t="s">
        <v>152</v>
      </c>
      <c r="F14" t="s">
        <v>122</v>
      </c>
      <c r="G14" t="s">
        <v>147</v>
      </c>
      <c r="H14" t="s">
        <v>148</v>
      </c>
      <c r="I14" t="s">
        <v>131</v>
      </c>
      <c r="J14" t="s">
        <v>123</v>
      </c>
      <c r="K14" t="s">
        <v>122</v>
      </c>
      <c r="L14">
        <v>42</v>
      </c>
      <c r="M14">
        <v>1359</v>
      </c>
    </row>
    <row r="15" spans="1:19" x14ac:dyDescent="0.3">
      <c r="A15" t="s">
        <v>178</v>
      </c>
      <c r="B15">
        <v>1</v>
      </c>
      <c r="C15" t="s">
        <v>128</v>
      </c>
      <c r="D15" t="s">
        <v>126</v>
      </c>
      <c r="E15" t="s">
        <v>125</v>
      </c>
      <c r="F15" t="s">
        <v>122</v>
      </c>
      <c r="G15" t="s">
        <v>147</v>
      </c>
      <c r="H15" t="s">
        <v>148</v>
      </c>
      <c r="I15" t="s">
        <v>131</v>
      </c>
      <c r="J15" t="s">
        <v>123</v>
      </c>
      <c r="K15" t="s">
        <v>126</v>
      </c>
      <c r="L15">
        <v>48</v>
      </c>
      <c r="M15">
        <v>1413</v>
      </c>
    </row>
    <row r="16" spans="1:19" x14ac:dyDescent="0.3">
      <c r="A16" t="s">
        <v>179</v>
      </c>
      <c r="B16">
        <v>1</v>
      </c>
      <c r="C16" t="s">
        <v>128</v>
      </c>
      <c r="D16" t="s">
        <v>126</v>
      </c>
      <c r="E16" t="s">
        <v>152</v>
      </c>
      <c r="F16" t="s">
        <v>122</v>
      </c>
      <c r="G16" t="s">
        <v>147</v>
      </c>
      <c r="H16" t="s">
        <v>148</v>
      </c>
      <c r="I16" t="s">
        <v>131</v>
      </c>
      <c r="J16" t="s">
        <v>123</v>
      </c>
      <c r="K16" t="s">
        <v>122</v>
      </c>
      <c r="L16">
        <v>49</v>
      </c>
      <c r="M16">
        <v>1526</v>
      </c>
    </row>
    <row r="17" spans="1:13" x14ac:dyDescent="0.3">
      <c r="A17" t="s">
        <v>180</v>
      </c>
      <c r="B17">
        <v>1</v>
      </c>
      <c r="C17" t="s">
        <v>128</v>
      </c>
      <c r="D17" t="s">
        <v>126</v>
      </c>
      <c r="E17" t="s">
        <v>152</v>
      </c>
      <c r="F17" t="s">
        <v>127</v>
      </c>
      <c r="G17" t="s">
        <v>147</v>
      </c>
      <c r="H17" t="s">
        <v>148</v>
      </c>
      <c r="I17" t="s">
        <v>131</v>
      </c>
      <c r="J17" t="s">
        <v>123</v>
      </c>
      <c r="K17" t="s">
        <v>126</v>
      </c>
      <c r="L17">
        <v>47</v>
      </c>
      <c r="M17">
        <v>1438</v>
      </c>
    </row>
    <row r="18" spans="1:13" x14ac:dyDescent="0.3">
      <c r="A18" t="s">
        <v>181</v>
      </c>
      <c r="B18">
        <v>1</v>
      </c>
      <c r="C18" t="s">
        <v>128</v>
      </c>
      <c r="D18" t="s">
        <v>126</v>
      </c>
      <c r="E18" t="s">
        <v>152</v>
      </c>
      <c r="F18" t="s">
        <v>122</v>
      </c>
      <c r="G18" t="s">
        <v>147</v>
      </c>
      <c r="H18" t="s">
        <v>148</v>
      </c>
      <c r="I18" t="s">
        <v>131</v>
      </c>
      <c r="J18" t="s">
        <v>123</v>
      </c>
      <c r="K18" t="s">
        <v>147</v>
      </c>
      <c r="L18">
        <v>56</v>
      </c>
      <c r="M18">
        <v>1543</v>
      </c>
    </row>
    <row r="19" spans="1:13" x14ac:dyDescent="0.3">
      <c r="A19" t="s">
        <v>182</v>
      </c>
      <c r="B19">
        <v>0</v>
      </c>
      <c r="C19" t="s">
        <v>84</v>
      </c>
      <c r="D19" t="s">
        <v>84</v>
      </c>
      <c r="E19" t="s">
        <v>84</v>
      </c>
      <c r="F19" t="s">
        <v>84</v>
      </c>
      <c r="G19" t="s">
        <v>84</v>
      </c>
      <c r="H19" t="s">
        <v>84</v>
      </c>
      <c r="I19" t="s">
        <v>84</v>
      </c>
      <c r="J19" t="s">
        <v>84</v>
      </c>
      <c r="K19" t="s">
        <v>84</v>
      </c>
      <c r="L19">
        <v>19</v>
      </c>
      <c r="M19">
        <v>1111</v>
      </c>
    </row>
    <row r="20" spans="1:13" x14ac:dyDescent="0.3">
      <c r="A20" t="s">
        <v>183</v>
      </c>
      <c r="B20">
        <v>1</v>
      </c>
      <c r="C20" t="s">
        <v>128</v>
      </c>
      <c r="D20" t="s">
        <v>126</v>
      </c>
      <c r="E20" t="s">
        <v>152</v>
      </c>
      <c r="F20" t="s">
        <v>122</v>
      </c>
      <c r="G20" t="s">
        <v>147</v>
      </c>
      <c r="H20" t="s">
        <v>148</v>
      </c>
      <c r="I20" t="s">
        <v>131</v>
      </c>
      <c r="J20" t="s">
        <v>123</v>
      </c>
      <c r="K20" t="s">
        <v>122</v>
      </c>
      <c r="L20">
        <v>46</v>
      </c>
      <c r="M20">
        <v>1446</v>
      </c>
    </row>
    <row r="21" spans="1:13" x14ac:dyDescent="0.3">
      <c r="A21" t="s">
        <v>184</v>
      </c>
      <c r="B21">
        <v>1</v>
      </c>
      <c r="C21" t="s">
        <v>128</v>
      </c>
      <c r="D21" t="s">
        <v>126</v>
      </c>
      <c r="E21" t="s">
        <v>152</v>
      </c>
      <c r="F21" t="s">
        <v>122</v>
      </c>
      <c r="G21" t="s">
        <v>147</v>
      </c>
      <c r="H21" t="s">
        <v>148</v>
      </c>
      <c r="I21" t="s">
        <v>131</v>
      </c>
      <c r="J21" t="s">
        <v>123</v>
      </c>
      <c r="K21" t="s">
        <v>147</v>
      </c>
      <c r="L21">
        <v>48</v>
      </c>
      <c r="M21">
        <v>1507</v>
      </c>
    </row>
    <row r="22" spans="1:13" x14ac:dyDescent="0.3">
      <c r="A22" t="s">
        <v>185</v>
      </c>
      <c r="B22">
        <v>1</v>
      </c>
      <c r="C22" t="s">
        <v>128</v>
      </c>
      <c r="D22" t="s">
        <v>126</v>
      </c>
      <c r="E22" t="s">
        <v>152</v>
      </c>
      <c r="F22" t="s">
        <v>122</v>
      </c>
      <c r="G22" t="s">
        <v>147</v>
      </c>
      <c r="H22" t="s">
        <v>148</v>
      </c>
      <c r="I22" t="s">
        <v>131</v>
      </c>
      <c r="J22" t="s">
        <v>123</v>
      </c>
      <c r="K22" t="s">
        <v>126</v>
      </c>
      <c r="L22">
        <v>47</v>
      </c>
      <c r="M22">
        <v>1482</v>
      </c>
    </row>
    <row r="23" spans="1:13" x14ac:dyDescent="0.3">
      <c r="A23" t="s">
        <v>186</v>
      </c>
      <c r="B23">
        <v>1</v>
      </c>
      <c r="C23" t="s">
        <v>128</v>
      </c>
      <c r="D23" t="s">
        <v>126</v>
      </c>
      <c r="E23" t="s">
        <v>152</v>
      </c>
      <c r="F23" t="s">
        <v>122</v>
      </c>
      <c r="G23" t="s">
        <v>147</v>
      </c>
      <c r="H23" t="s">
        <v>148</v>
      </c>
      <c r="I23" t="s">
        <v>131</v>
      </c>
      <c r="J23" t="s">
        <v>123</v>
      </c>
      <c r="K23" t="s">
        <v>126</v>
      </c>
      <c r="L23">
        <v>50</v>
      </c>
      <c r="M23">
        <v>1469</v>
      </c>
    </row>
    <row r="24" spans="1:13" x14ac:dyDescent="0.3">
      <c r="A24" t="s">
        <v>187</v>
      </c>
      <c r="B24">
        <v>1</v>
      </c>
      <c r="C24" t="s">
        <v>128</v>
      </c>
      <c r="D24" t="s">
        <v>126</v>
      </c>
      <c r="E24" t="s">
        <v>152</v>
      </c>
      <c r="F24" t="s">
        <v>122</v>
      </c>
      <c r="G24" t="s">
        <v>147</v>
      </c>
      <c r="H24" t="s">
        <v>148</v>
      </c>
      <c r="I24" t="s">
        <v>129</v>
      </c>
      <c r="J24" t="s">
        <v>123</v>
      </c>
      <c r="K24" t="s">
        <v>147</v>
      </c>
      <c r="L24">
        <v>38</v>
      </c>
      <c r="M24">
        <v>1460</v>
      </c>
    </row>
    <row r="25" spans="1:13" x14ac:dyDescent="0.3">
      <c r="A25" t="s">
        <v>188</v>
      </c>
      <c r="B25">
        <v>1</v>
      </c>
      <c r="C25" t="s">
        <v>128</v>
      </c>
      <c r="D25" t="s">
        <v>126</v>
      </c>
      <c r="E25" t="s">
        <v>152</v>
      </c>
      <c r="F25" t="s">
        <v>122</v>
      </c>
      <c r="G25" t="s">
        <v>147</v>
      </c>
      <c r="H25" t="s">
        <v>148</v>
      </c>
      <c r="I25" t="s">
        <v>131</v>
      </c>
      <c r="J25" t="s">
        <v>123</v>
      </c>
      <c r="K25" t="s">
        <v>131</v>
      </c>
      <c r="L25">
        <v>48</v>
      </c>
      <c r="M25">
        <v>1502</v>
      </c>
    </row>
    <row r="26" spans="1:13" x14ac:dyDescent="0.3">
      <c r="A26" t="s">
        <v>189</v>
      </c>
      <c r="B26">
        <v>1</v>
      </c>
      <c r="C26" t="s">
        <v>130</v>
      </c>
      <c r="D26" t="s">
        <v>126</v>
      </c>
      <c r="E26" t="s">
        <v>152</v>
      </c>
      <c r="F26" t="s">
        <v>122</v>
      </c>
      <c r="G26" t="s">
        <v>147</v>
      </c>
      <c r="H26" t="s">
        <v>168</v>
      </c>
      <c r="I26" t="s">
        <v>131</v>
      </c>
      <c r="J26" t="s">
        <v>123</v>
      </c>
      <c r="K26" t="s">
        <v>126</v>
      </c>
      <c r="L26">
        <v>46</v>
      </c>
      <c r="M26">
        <v>1459</v>
      </c>
    </row>
    <row r="27" spans="1:13" x14ac:dyDescent="0.3">
      <c r="A27" t="s">
        <v>190</v>
      </c>
      <c r="B27">
        <v>1</v>
      </c>
      <c r="C27" t="s">
        <v>128</v>
      </c>
      <c r="D27" t="s">
        <v>126</v>
      </c>
      <c r="E27" t="s">
        <v>125</v>
      </c>
      <c r="F27" t="s">
        <v>122</v>
      </c>
      <c r="G27" t="s">
        <v>147</v>
      </c>
      <c r="H27" t="s">
        <v>148</v>
      </c>
      <c r="I27" t="s">
        <v>131</v>
      </c>
      <c r="J27" t="s">
        <v>123</v>
      </c>
      <c r="K27" t="s">
        <v>126</v>
      </c>
      <c r="L27">
        <v>50</v>
      </c>
      <c r="M27">
        <v>1378</v>
      </c>
    </row>
    <row r="28" spans="1:13" x14ac:dyDescent="0.3">
      <c r="A28" t="s">
        <v>191</v>
      </c>
      <c r="B28">
        <v>1</v>
      </c>
      <c r="C28" t="s">
        <v>128</v>
      </c>
      <c r="D28" t="s">
        <v>126</v>
      </c>
      <c r="E28" t="s">
        <v>152</v>
      </c>
      <c r="F28" t="s">
        <v>122</v>
      </c>
      <c r="G28" t="s">
        <v>147</v>
      </c>
      <c r="H28" t="s">
        <v>148</v>
      </c>
      <c r="I28" t="s">
        <v>129</v>
      </c>
      <c r="J28" t="s">
        <v>123</v>
      </c>
      <c r="K28" t="s">
        <v>122</v>
      </c>
      <c r="L28">
        <v>48</v>
      </c>
      <c r="M28">
        <v>1505</v>
      </c>
    </row>
    <row r="29" spans="1:13" x14ac:dyDescent="0.3">
      <c r="A29" t="s">
        <v>192</v>
      </c>
      <c r="B29">
        <v>1</v>
      </c>
      <c r="C29" t="s">
        <v>128</v>
      </c>
      <c r="D29" t="s">
        <v>126</v>
      </c>
      <c r="E29" t="s">
        <v>152</v>
      </c>
      <c r="F29" t="s">
        <v>122</v>
      </c>
      <c r="G29" t="s">
        <v>147</v>
      </c>
      <c r="H29" t="s">
        <v>148</v>
      </c>
      <c r="I29" t="s">
        <v>129</v>
      </c>
      <c r="J29" t="s">
        <v>123</v>
      </c>
      <c r="K29" t="s">
        <v>147</v>
      </c>
      <c r="L29">
        <v>46</v>
      </c>
      <c r="M29">
        <v>1481</v>
      </c>
    </row>
    <row r="30" spans="1:13" x14ac:dyDescent="0.3">
      <c r="A30" t="s">
        <v>193</v>
      </c>
      <c r="B30">
        <v>1</v>
      </c>
      <c r="C30" t="s">
        <v>130</v>
      </c>
      <c r="D30" t="s">
        <v>126</v>
      </c>
      <c r="E30" t="s">
        <v>152</v>
      </c>
      <c r="F30" t="s">
        <v>122</v>
      </c>
      <c r="G30" t="s">
        <v>147</v>
      </c>
      <c r="H30" t="s">
        <v>148</v>
      </c>
      <c r="I30" t="s">
        <v>129</v>
      </c>
      <c r="J30" t="s">
        <v>123</v>
      </c>
      <c r="K30" t="s">
        <v>126</v>
      </c>
      <c r="L30">
        <v>48</v>
      </c>
      <c r="M30">
        <v>1408</v>
      </c>
    </row>
    <row r="31" spans="1:13" x14ac:dyDescent="0.3">
      <c r="A31" t="s">
        <v>194</v>
      </c>
      <c r="B31">
        <v>1</v>
      </c>
      <c r="C31" t="s">
        <v>128</v>
      </c>
      <c r="D31" t="s">
        <v>126</v>
      </c>
      <c r="E31" t="s">
        <v>152</v>
      </c>
      <c r="F31" t="s">
        <v>122</v>
      </c>
      <c r="G31" t="s">
        <v>147</v>
      </c>
      <c r="H31" t="s">
        <v>148</v>
      </c>
      <c r="I31" t="s">
        <v>129</v>
      </c>
      <c r="J31" t="s">
        <v>123</v>
      </c>
      <c r="K31" t="s">
        <v>147</v>
      </c>
      <c r="L31">
        <v>53</v>
      </c>
      <c r="M31">
        <v>1499</v>
      </c>
    </row>
    <row r="32" spans="1:13" x14ac:dyDescent="0.3">
      <c r="A32" t="s">
        <v>195</v>
      </c>
      <c r="B32">
        <v>1</v>
      </c>
      <c r="C32" t="s">
        <v>128</v>
      </c>
      <c r="D32" t="s">
        <v>126</v>
      </c>
      <c r="E32" t="s">
        <v>152</v>
      </c>
      <c r="F32" t="s">
        <v>122</v>
      </c>
      <c r="G32" t="s">
        <v>147</v>
      </c>
      <c r="H32" t="s">
        <v>148</v>
      </c>
      <c r="I32" t="s">
        <v>131</v>
      </c>
      <c r="J32" t="s">
        <v>123</v>
      </c>
      <c r="K32" t="s">
        <v>147</v>
      </c>
      <c r="L32">
        <v>44</v>
      </c>
      <c r="M32">
        <v>1490</v>
      </c>
    </row>
    <row r="33" spans="1:13" x14ac:dyDescent="0.3">
      <c r="A33" t="s">
        <v>196</v>
      </c>
      <c r="B33">
        <v>1</v>
      </c>
      <c r="C33" t="s">
        <v>128</v>
      </c>
      <c r="D33" t="s">
        <v>126</v>
      </c>
      <c r="E33" t="s">
        <v>125</v>
      </c>
      <c r="F33" t="s">
        <v>122</v>
      </c>
      <c r="G33" t="s">
        <v>147</v>
      </c>
      <c r="H33" t="s">
        <v>168</v>
      </c>
      <c r="I33" t="s">
        <v>129</v>
      </c>
      <c r="J33" t="s">
        <v>133</v>
      </c>
      <c r="K33" t="s">
        <v>128</v>
      </c>
      <c r="L33">
        <v>32</v>
      </c>
      <c r="M33">
        <v>1151</v>
      </c>
    </row>
    <row r="34" spans="1:13" x14ac:dyDescent="0.3">
      <c r="A34" t="s">
        <v>197</v>
      </c>
      <c r="B34">
        <v>1</v>
      </c>
      <c r="C34" t="s">
        <v>128</v>
      </c>
      <c r="D34" t="s">
        <v>126</v>
      </c>
      <c r="E34" t="s">
        <v>152</v>
      </c>
      <c r="F34" t="s">
        <v>122</v>
      </c>
      <c r="G34" t="s">
        <v>147</v>
      </c>
      <c r="H34" t="s">
        <v>148</v>
      </c>
      <c r="I34" t="s">
        <v>131</v>
      </c>
      <c r="J34" t="s">
        <v>123</v>
      </c>
      <c r="K34" t="s">
        <v>126</v>
      </c>
      <c r="L34">
        <v>48</v>
      </c>
      <c r="M34">
        <v>1505</v>
      </c>
    </row>
    <row r="35" spans="1:13" x14ac:dyDescent="0.3">
      <c r="A35" t="s">
        <v>138</v>
      </c>
      <c r="B35">
        <v>1</v>
      </c>
      <c r="C35" t="s">
        <v>128</v>
      </c>
      <c r="D35" t="s">
        <v>126</v>
      </c>
      <c r="E35" t="s">
        <v>152</v>
      </c>
      <c r="F35" t="s">
        <v>122</v>
      </c>
      <c r="G35" t="s">
        <v>147</v>
      </c>
      <c r="H35" t="s">
        <v>148</v>
      </c>
      <c r="I35" t="s">
        <v>131</v>
      </c>
      <c r="J35" t="s">
        <v>123</v>
      </c>
      <c r="K35" t="s">
        <v>147</v>
      </c>
      <c r="L35">
        <v>53</v>
      </c>
      <c r="M35">
        <v>1490</v>
      </c>
    </row>
    <row r="36" spans="1:13" x14ac:dyDescent="0.3">
      <c r="A36" t="s">
        <v>198</v>
      </c>
      <c r="B36">
        <v>1</v>
      </c>
      <c r="C36" t="s">
        <v>128</v>
      </c>
      <c r="D36" t="s">
        <v>126</v>
      </c>
      <c r="E36" t="s">
        <v>152</v>
      </c>
      <c r="F36" t="s">
        <v>122</v>
      </c>
      <c r="G36" t="s">
        <v>147</v>
      </c>
      <c r="H36" t="s">
        <v>148</v>
      </c>
      <c r="I36" t="s">
        <v>131</v>
      </c>
      <c r="J36" t="s">
        <v>123</v>
      </c>
      <c r="K36" t="s">
        <v>126</v>
      </c>
      <c r="L36">
        <v>51</v>
      </c>
      <c r="M36">
        <v>1450</v>
      </c>
    </row>
    <row r="37" spans="1:13" x14ac:dyDescent="0.3">
      <c r="A37" t="s">
        <v>199</v>
      </c>
      <c r="B37">
        <v>1</v>
      </c>
      <c r="C37" t="s">
        <v>128</v>
      </c>
      <c r="D37" t="s">
        <v>126</v>
      </c>
      <c r="E37" t="s">
        <v>152</v>
      </c>
      <c r="F37" t="s">
        <v>122</v>
      </c>
      <c r="G37" t="s">
        <v>147</v>
      </c>
      <c r="H37" t="s">
        <v>168</v>
      </c>
      <c r="I37" t="s">
        <v>131</v>
      </c>
      <c r="J37" t="s">
        <v>123</v>
      </c>
      <c r="K37" t="s">
        <v>122</v>
      </c>
      <c r="L37">
        <v>51</v>
      </c>
      <c r="M37">
        <v>1484</v>
      </c>
    </row>
    <row r="38" spans="1:13" x14ac:dyDescent="0.3">
      <c r="A38" t="s">
        <v>200</v>
      </c>
      <c r="B38">
        <v>1</v>
      </c>
      <c r="C38" t="s">
        <v>128</v>
      </c>
      <c r="D38" t="s">
        <v>126</v>
      </c>
      <c r="E38" t="s">
        <v>152</v>
      </c>
      <c r="F38" t="s">
        <v>122</v>
      </c>
      <c r="G38" t="s">
        <v>147</v>
      </c>
      <c r="H38" t="s">
        <v>148</v>
      </c>
      <c r="I38" t="s">
        <v>131</v>
      </c>
      <c r="J38" t="s">
        <v>123</v>
      </c>
      <c r="K38" t="s">
        <v>126</v>
      </c>
      <c r="L38">
        <v>47</v>
      </c>
      <c r="M38">
        <v>1456</v>
      </c>
    </row>
    <row r="39" spans="1:13" x14ac:dyDescent="0.3">
      <c r="A39" t="s">
        <v>201</v>
      </c>
      <c r="B39">
        <v>0</v>
      </c>
      <c r="C39" t="s">
        <v>84</v>
      </c>
      <c r="D39" t="s">
        <v>84</v>
      </c>
      <c r="E39" t="s">
        <v>84</v>
      </c>
      <c r="F39" t="s">
        <v>84</v>
      </c>
      <c r="G39" t="s">
        <v>84</v>
      </c>
      <c r="H39" t="s">
        <v>84</v>
      </c>
      <c r="I39" t="s">
        <v>84</v>
      </c>
      <c r="J39" t="s">
        <v>84</v>
      </c>
      <c r="K39" t="s">
        <v>84</v>
      </c>
      <c r="L39">
        <v>42</v>
      </c>
      <c r="M39">
        <v>1278</v>
      </c>
    </row>
    <row r="40" spans="1:13" x14ac:dyDescent="0.3">
      <c r="A40" t="s">
        <v>202</v>
      </c>
      <c r="B40">
        <v>1</v>
      </c>
      <c r="C40" t="s">
        <v>130</v>
      </c>
      <c r="D40" t="s">
        <v>126</v>
      </c>
      <c r="E40" t="s">
        <v>152</v>
      </c>
      <c r="F40" t="s">
        <v>122</v>
      </c>
      <c r="G40" t="s">
        <v>147</v>
      </c>
      <c r="H40" t="s">
        <v>148</v>
      </c>
      <c r="I40" t="s">
        <v>131</v>
      </c>
      <c r="J40" t="s">
        <v>123</v>
      </c>
      <c r="K40" t="s">
        <v>126</v>
      </c>
      <c r="L40">
        <v>51</v>
      </c>
      <c r="M40">
        <v>1529</v>
      </c>
    </row>
    <row r="41" spans="1:13" x14ac:dyDescent="0.3">
      <c r="A41" t="s">
        <v>203</v>
      </c>
      <c r="B41">
        <v>1</v>
      </c>
      <c r="C41" t="s">
        <v>128</v>
      </c>
      <c r="D41" t="s">
        <v>126</v>
      </c>
      <c r="E41" t="s">
        <v>152</v>
      </c>
      <c r="F41" t="s">
        <v>122</v>
      </c>
      <c r="G41" t="s">
        <v>147</v>
      </c>
      <c r="H41" t="s">
        <v>148</v>
      </c>
      <c r="I41" t="s">
        <v>131</v>
      </c>
      <c r="J41" t="s">
        <v>123</v>
      </c>
      <c r="K41" t="s">
        <v>147</v>
      </c>
      <c r="L41">
        <v>47</v>
      </c>
      <c r="M41">
        <v>1417</v>
      </c>
    </row>
    <row r="42" spans="1:13" x14ac:dyDescent="0.3">
      <c r="A42" t="s">
        <v>204</v>
      </c>
      <c r="B42">
        <v>1</v>
      </c>
      <c r="C42" t="s">
        <v>128</v>
      </c>
      <c r="D42" t="s">
        <v>126</v>
      </c>
      <c r="E42" t="s">
        <v>152</v>
      </c>
      <c r="F42" t="s">
        <v>122</v>
      </c>
      <c r="G42" t="s">
        <v>147</v>
      </c>
      <c r="H42" t="s">
        <v>148</v>
      </c>
      <c r="I42" t="s">
        <v>129</v>
      </c>
      <c r="J42" t="s">
        <v>123</v>
      </c>
      <c r="K42" t="s">
        <v>126</v>
      </c>
      <c r="L42">
        <v>52</v>
      </c>
      <c r="M42">
        <v>1494</v>
      </c>
    </row>
    <row r="43" spans="1:13" x14ac:dyDescent="0.3">
      <c r="A43" t="s">
        <v>205</v>
      </c>
      <c r="B43">
        <v>1</v>
      </c>
      <c r="C43" t="s">
        <v>128</v>
      </c>
      <c r="D43" t="s">
        <v>126</v>
      </c>
      <c r="E43" t="s">
        <v>152</v>
      </c>
      <c r="F43" t="s">
        <v>122</v>
      </c>
      <c r="G43" t="s">
        <v>147</v>
      </c>
      <c r="H43" t="s">
        <v>148</v>
      </c>
      <c r="I43" t="s">
        <v>131</v>
      </c>
      <c r="J43" t="s">
        <v>123</v>
      </c>
      <c r="K43" t="s">
        <v>147</v>
      </c>
      <c r="L43">
        <v>53</v>
      </c>
      <c r="M43">
        <v>1538</v>
      </c>
    </row>
    <row r="44" spans="1:13" x14ac:dyDescent="0.3">
      <c r="A44" t="s">
        <v>206</v>
      </c>
      <c r="B44">
        <v>1</v>
      </c>
      <c r="C44" t="s">
        <v>130</v>
      </c>
      <c r="D44" t="s">
        <v>126</v>
      </c>
      <c r="E44" t="s">
        <v>125</v>
      </c>
      <c r="F44" t="s">
        <v>122</v>
      </c>
      <c r="G44" t="s">
        <v>147</v>
      </c>
      <c r="H44" t="s">
        <v>168</v>
      </c>
      <c r="I44" t="s">
        <v>129</v>
      </c>
      <c r="J44" t="s">
        <v>123</v>
      </c>
      <c r="K44" t="s">
        <v>126</v>
      </c>
      <c r="L44">
        <v>34</v>
      </c>
      <c r="M44">
        <v>1251</v>
      </c>
    </row>
    <row r="45" spans="1:13" x14ac:dyDescent="0.3">
      <c r="A45" t="s">
        <v>207</v>
      </c>
      <c r="B45">
        <v>1</v>
      </c>
      <c r="C45" t="s">
        <v>128</v>
      </c>
      <c r="D45" t="s">
        <v>126</v>
      </c>
      <c r="E45" t="s">
        <v>152</v>
      </c>
      <c r="F45" t="s">
        <v>122</v>
      </c>
      <c r="G45" t="s">
        <v>147</v>
      </c>
      <c r="H45" t="s">
        <v>148</v>
      </c>
      <c r="I45" t="s">
        <v>129</v>
      </c>
      <c r="J45" t="s">
        <v>123</v>
      </c>
      <c r="K45" t="s">
        <v>147</v>
      </c>
      <c r="L45">
        <v>53</v>
      </c>
      <c r="M45">
        <v>1572</v>
      </c>
    </row>
    <row r="46" spans="1:13" x14ac:dyDescent="0.3">
      <c r="A46" t="s">
        <v>208</v>
      </c>
      <c r="B46">
        <v>0</v>
      </c>
      <c r="C46" t="s">
        <v>84</v>
      </c>
      <c r="D46" t="s">
        <v>84</v>
      </c>
      <c r="E46" t="s">
        <v>84</v>
      </c>
      <c r="F46" t="s">
        <v>84</v>
      </c>
      <c r="G46" t="s">
        <v>84</v>
      </c>
      <c r="H46" t="s">
        <v>84</v>
      </c>
      <c r="I46" t="s">
        <v>84</v>
      </c>
      <c r="J46" t="s">
        <v>84</v>
      </c>
      <c r="K46" t="s">
        <v>84</v>
      </c>
      <c r="L46">
        <v>13</v>
      </c>
      <c r="M46">
        <v>1023</v>
      </c>
    </row>
    <row r="47" spans="1:13" x14ac:dyDescent="0.3">
      <c r="A47" t="s">
        <v>209</v>
      </c>
      <c r="B47">
        <v>1</v>
      </c>
      <c r="C47" t="s">
        <v>128</v>
      </c>
      <c r="D47" t="s">
        <v>126</v>
      </c>
      <c r="E47" t="s">
        <v>152</v>
      </c>
      <c r="F47" t="s">
        <v>122</v>
      </c>
      <c r="G47" t="s">
        <v>147</v>
      </c>
      <c r="H47" t="s">
        <v>148</v>
      </c>
      <c r="I47" t="s">
        <v>129</v>
      </c>
      <c r="J47" t="s">
        <v>123</v>
      </c>
      <c r="K47" t="s">
        <v>147</v>
      </c>
      <c r="L47">
        <v>50</v>
      </c>
      <c r="M47">
        <v>1500</v>
      </c>
    </row>
    <row r="48" spans="1:13" x14ac:dyDescent="0.3">
      <c r="A48" t="s">
        <v>210</v>
      </c>
      <c r="B48">
        <v>1</v>
      </c>
      <c r="C48" t="s">
        <v>130</v>
      </c>
      <c r="D48" t="s">
        <v>126</v>
      </c>
      <c r="E48" t="s">
        <v>125</v>
      </c>
      <c r="F48" t="s">
        <v>122</v>
      </c>
      <c r="G48" t="s">
        <v>147</v>
      </c>
      <c r="H48" t="s">
        <v>148</v>
      </c>
      <c r="I48" t="s">
        <v>131</v>
      </c>
      <c r="J48" t="s">
        <v>123</v>
      </c>
      <c r="K48" t="s">
        <v>147</v>
      </c>
      <c r="L48">
        <v>42</v>
      </c>
      <c r="M48">
        <v>1401</v>
      </c>
    </row>
    <row r="49" spans="1:13" x14ac:dyDescent="0.3">
      <c r="A49" t="s">
        <v>211</v>
      </c>
      <c r="B49">
        <v>1</v>
      </c>
      <c r="C49" t="s">
        <v>128</v>
      </c>
      <c r="D49" t="s">
        <v>126</v>
      </c>
      <c r="E49" t="s">
        <v>152</v>
      </c>
      <c r="F49" t="s">
        <v>122</v>
      </c>
      <c r="G49" t="s">
        <v>147</v>
      </c>
      <c r="H49" t="s">
        <v>148</v>
      </c>
      <c r="I49" t="s">
        <v>131</v>
      </c>
      <c r="J49" t="s">
        <v>123</v>
      </c>
      <c r="K49" t="s">
        <v>126</v>
      </c>
      <c r="L49">
        <v>50</v>
      </c>
      <c r="M49">
        <v>1532</v>
      </c>
    </row>
    <row r="50" spans="1:13" x14ac:dyDescent="0.3">
      <c r="A50" t="s">
        <v>212</v>
      </c>
      <c r="B50">
        <v>1</v>
      </c>
      <c r="C50" t="s">
        <v>128</v>
      </c>
      <c r="D50" t="s">
        <v>126</v>
      </c>
      <c r="E50" t="s">
        <v>152</v>
      </c>
      <c r="F50" t="s">
        <v>122</v>
      </c>
      <c r="G50" t="s">
        <v>147</v>
      </c>
      <c r="H50" t="s">
        <v>148</v>
      </c>
      <c r="I50" t="s">
        <v>131</v>
      </c>
      <c r="J50" t="s">
        <v>123</v>
      </c>
      <c r="K50" t="s">
        <v>126</v>
      </c>
      <c r="L50">
        <v>54</v>
      </c>
      <c r="M50">
        <v>1493</v>
      </c>
    </row>
    <row r="51" spans="1:13" x14ac:dyDescent="0.3">
      <c r="A51" t="s">
        <v>213</v>
      </c>
      <c r="B51">
        <v>1</v>
      </c>
      <c r="C51" t="s">
        <v>128</v>
      </c>
      <c r="D51" t="s">
        <v>126</v>
      </c>
      <c r="E51" t="s">
        <v>152</v>
      </c>
      <c r="F51" t="s">
        <v>122</v>
      </c>
      <c r="G51" t="s">
        <v>147</v>
      </c>
      <c r="H51" t="s">
        <v>148</v>
      </c>
      <c r="I51" t="s">
        <v>131</v>
      </c>
      <c r="J51" t="s">
        <v>123</v>
      </c>
      <c r="K51" t="s">
        <v>126</v>
      </c>
      <c r="L51">
        <v>53</v>
      </c>
      <c r="M51">
        <v>1505</v>
      </c>
    </row>
    <row r="52" spans="1:13" x14ac:dyDescent="0.3">
      <c r="A52" t="s">
        <v>214</v>
      </c>
      <c r="B52">
        <v>1</v>
      </c>
      <c r="C52" t="s">
        <v>130</v>
      </c>
      <c r="D52" t="s">
        <v>126</v>
      </c>
      <c r="E52" t="s">
        <v>152</v>
      </c>
      <c r="F52" t="s">
        <v>122</v>
      </c>
      <c r="G52" t="s">
        <v>147</v>
      </c>
      <c r="H52" t="s">
        <v>148</v>
      </c>
      <c r="I52" t="s">
        <v>131</v>
      </c>
      <c r="J52" t="s">
        <v>123</v>
      </c>
      <c r="K52" t="s">
        <v>147</v>
      </c>
      <c r="L52">
        <v>50</v>
      </c>
      <c r="M52">
        <v>1562</v>
      </c>
    </row>
    <row r="53" spans="1:13" x14ac:dyDescent="0.3">
      <c r="A53" t="s">
        <v>215</v>
      </c>
      <c r="B53">
        <v>1</v>
      </c>
      <c r="C53" t="s">
        <v>130</v>
      </c>
      <c r="D53" t="s">
        <v>126</v>
      </c>
      <c r="E53" t="s">
        <v>152</v>
      </c>
      <c r="F53" t="s">
        <v>122</v>
      </c>
      <c r="G53" t="s">
        <v>147</v>
      </c>
      <c r="H53" t="s">
        <v>168</v>
      </c>
      <c r="I53" t="s">
        <v>131</v>
      </c>
      <c r="J53" t="s">
        <v>123</v>
      </c>
      <c r="K53" t="s">
        <v>147</v>
      </c>
      <c r="L53">
        <v>43</v>
      </c>
      <c r="M53">
        <v>1403</v>
      </c>
    </row>
    <row r="54" spans="1:13" x14ac:dyDescent="0.3">
      <c r="A54" t="s">
        <v>216</v>
      </c>
      <c r="B54">
        <v>1</v>
      </c>
      <c r="C54" t="s">
        <v>128</v>
      </c>
      <c r="D54" t="s">
        <v>126</v>
      </c>
      <c r="E54" t="s">
        <v>152</v>
      </c>
      <c r="F54" t="s">
        <v>122</v>
      </c>
      <c r="G54" t="s">
        <v>147</v>
      </c>
      <c r="H54" t="s">
        <v>148</v>
      </c>
      <c r="I54" t="s">
        <v>131</v>
      </c>
      <c r="J54" t="s">
        <v>123</v>
      </c>
      <c r="K54" t="s">
        <v>126</v>
      </c>
      <c r="L54">
        <v>53</v>
      </c>
      <c r="M54">
        <v>1510</v>
      </c>
    </row>
    <row r="55" spans="1:13" x14ac:dyDescent="0.3">
      <c r="A55" t="s">
        <v>217</v>
      </c>
      <c r="B55">
        <v>1</v>
      </c>
      <c r="C55" t="s">
        <v>130</v>
      </c>
      <c r="D55" t="s">
        <v>126</v>
      </c>
      <c r="E55" t="s">
        <v>125</v>
      </c>
      <c r="F55" t="s">
        <v>127</v>
      </c>
      <c r="G55" t="s">
        <v>147</v>
      </c>
      <c r="H55" t="s">
        <v>148</v>
      </c>
      <c r="I55" t="s">
        <v>129</v>
      </c>
      <c r="J55" t="s">
        <v>133</v>
      </c>
      <c r="K55" t="s">
        <v>126</v>
      </c>
      <c r="L55">
        <v>48</v>
      </c>
      <c r="M55">
        <v>1398</v>
      </c>
    </row>
    <row r="56" spans="1:13" x14ac:dyDescent="0.3">
      <c r="A56" t="s">
        <v>218</v>
      </c>
      <c r="B56">
        <v>1</v>
      </c>
      <c r="C56" t="s">
        <v>128</v>
      </c>
      <c r="D56" t="s">
        <v>126</v>
      </c>
      <c r="E56" t="s">
        <v>152</v>
      </c>
      <c r="F56" t="s">
        <v>127</v>
      </c>
      <c r="G56" t="s">
        <v>147</v>
      </c>
      <c r="H56" t="s">
        <v>148</v>
      </c>
      <c r="I56" t="s">
        <v>131</v>
      </c>
      <c r="J56" t="s">
        <v>123</v>
      </c>
      <c r="K56" t="s">
        <v>126</v>
      </c>
      <c r="L56">
        <v>42</v>
      </c>
      <c r="M56">
        <v>1469</v>
      </c>
    </row>
    <row r="57" spans="1:13" x14ac:dyDescent="0.3">
      <c r="A57" t="s">
        <v>219</v>
      </c>
      <c r="B57">
        <v>1</v>
      </c>
      <c r="C57" t="s">
        <v>128</v>
      </c>
      <c r="D57" t="s">
        <v>126</v>
      </c>
      <c r="E57" t="s">
        <v>152</v>
      </c>
      <c r="F57" t="s">
        <v>122</v>
      </c>
      <c r="G57" t="s">
        <v>147</v>
      </c>
      <c r="H57" t="s">
        <v>148</v>
      </c>
      <c r="I57" t="s">
        <v>129</v>
      </c>
      <c r="J57" t="s">
        <v>123</v>
      </c>
      <c r="K57" t="s">
        <v>147</v>
      </c>
      <c r="L57">
        <v>49</v>
      </c>
      <c r="M57">
        <v>1510</v>
      </c>
    </row>
    <row r="58" spans="1:13" x14ac:dyDescent="0.3">
      <c r="A58" t="s">
        <v>220</v>
      </c>
      <c r="B58">
        <v>1</v>
      </c>
      <c r="C58" t="s">
        <v>128</v>
      </c>
      <c r="D58" t="s">
        <v>126</v>
      </c>
      <c r="E58" t="s">
        <v>152</v>
      </c>
      <c r="F58" t="s">
        <v>122</v>
      </c>
      <c r="G58" t="s">
        <v>147</v>
      </c>
      <c r="H58" t="s">
        <v>168</v>
      </c>
      <c r="I58" t="s">
        <v>131</v>
      </c>
      <c r="J58" t="s">
        <v>133</v>
      </c>
      <c r="K58" t="s">
        <v>147</v>
      </c>
      <c r="L58">
        <v>47</v>
      </c>
      <c r="M58">
        <v>1445</v>
      </c>
    </row>
    <row r="59" spans="1:13" x14ac:dyDescent="0.3">
      <c r="A59" t="s">
        <v>221</v>
      </c>
      <c r="B59">
        <v>1</v>
      </c>
      <c r="C59" t="s">
        <v>128</v>
      </c>
      <c r="D59" t="s">
        <v>126</v>
      </c>
      <c r="E59" t="s">
        <v>152</v>
      </c>
      <c r="F59" t="s">
        <v>122</v>
      </c>
      <c r="G59" t="s">
        <v>147</v>
      </c>
      <c r="H59" t="s">
        <v>148</v>
      </c>
      <c r="I59" t="s">
        <v>129</v>
      </c>
      <c r="J59" t="s">
        <v>123</v>
      </c>
      <c r="K59" t="s">
        <v>126</v>
      </c>
      <c r="L59">
        <v>46</v>
      </c>
      <c r="M59">
        <v>1473</v>
      </c>
    </row>
    <row r="60" spans="1:13" x14ac:dyDescent="0.3">
      <c r="A60" t="s">
        <v>222</v>
      </c>
      <c r="B60">
        <v>1</v>
      </c>
      <c r="C60" t="s">
        <v>128</v>
      </c>
      <c r="D60" t="s">
        <v>126</v>
      </c>
      <c r="E60" t="s">
        <v>152</v>
      </c>
      <c r="F60" t="s">
        <v>122</v>
      </c>
      <c r="G60" t="s">
        <v>147</v>
      </c>
      <c r="H60" t="s">
        <v>148</v>
      </c>
      <c r="I60" t="s">
        <v>131</v>
      </c>
      <c r="J60" t="s">
        <v>123</v>
      </c>
      <c r="K60" t="s">
        <v>147</v>
      </c>
      <c r="L60">
        <v>48</v>
      </c>
      <c r="M60">
        <v>1505</v>
      </c>
    </row>
    <row r="61" spans="1:13" x14ac:dyDescent="0.3">
      <c r="A61" t="s">
        <v>223</v>
      </c>
      <c r="B61">
        <v>1</v>
      </c>
      <c r="C61" t="s">
        <v>128</v>
      </c>
      <c r="D61" t="s">
        <v>126</v>
      </c>
      <c r="E61" t="s">
        <v>125</v>
      </c>
      <c r="F61" t="s">
        <v>122</v>
      </c>
      <c r="G61" t="s">
        <v>147</v>
      </c>
      <c r="H61" t="s">
        <v>148</v>
      </c>
      <c r="I61" t="s">
        <v>131</v>
      </c>
      <c r="J61" t="s">
        <v>123</v>
      </c>
      <c r="K61" t="s">
        <v>122</v>
      </c>
      <c r="L61">
        <v>49</v>
      </c>
      <c r="M61">
        <v>1498</v>
      </c>
    </row>
    <row r="62" spans="1:13" x14ac:dyDescent="0.3">
      <c r="A62" t="s">
        <v>224</v>
      </c>
      <c r="B62">
        <v>1</v>
      </c>
      <c r="C62" t="s">
        <v>128</v>
      </c>
      <c r="D62" t="s">
        <v>124</v>
      </c>
      <c r="E62" t="s">
        <v>152</v>
      </c>
      <c r="F62" t="s">
        <v>122</v>
      </c>
      <c r="G62" t="s">
        <v>147</v>
      </c>
      <c r="H62" t="s">
        <v>148</v>
      </c>
      <c r="I62" t="s">
        <v>131</v>
      </c>
      <c r="J62" t="s">
        <v>123</v>
      </c>
      <c r="K62" t="s">
        <v>147</v>
      </c>
      <c r="L62">
        <v>39</v>
      </c>
      <c r="M62">
        <v>1433</v>
      </c>
    </row>
    <row r="63" spans="1:13" x14ac:dyDescent="0.3">
      <c r="A63" t="s">
        <v>225</v>
      </c>
      <c r="B63">
        <v>1</v>
      </c>
      <c r="C63" t="s">
        <v>128</v>
      </c>
      <c r="D63" t="s">
        <v>126</v>
      </c>
      <c r="E63" t="s">
        <v>152</v>
      </c>
      <c r="F63" t="s">
        <v>122</v>
      </c>
      <c r="G63" t="s">
        <v>147</v>
      </c>
      <c r="H63" t="s">
        <v>168</v>
      </c>
      <c r="I63" t="s">
        <v>129</v>
      </c>
      <c r="J63" t="s">
        <v>123</v>
      </c>
      <c r="K63" t="s">
        <v>147</v>
      </c>
      <c r="L63">
        <v>46</v>
      </c>
      <c r="M63">
        <v>1474</v>
      </c>
    </row>
    <row r="64" spans="1:13" x14ac:dyDescent="0.3">
      <c r="A64" t="s">
        <v>226</v>
      </c>
      <c r="B64">
        <v>1</v>
      </c>
      <c r="C64" t="s">
        <v>128</v>
      </c>
      <c r="D64" t="s">
        <v>126</v>
      </c>
      <c r="E64" t="s">
        <v>125</v>
      </c>
      <c r="F64" t="s">
        <v>122</v>
      </c>
      <c r="G64" t="s">
        <v>147</v>
      </c>
      <c r="H64" t="s">
        <v>148</v>
      </c>
      <c r="I64" t="s">
        <v>129</v>
      </c>
      <c r="J64" t="s">
        <v>123</v>
      </c>
      <c r="K64" t="s">
        <v>122</v>
      </c>
      <c r="L64">
        <v>39</v>
      </c>
      <c r="M64">
        <v>1333</v>
      </c>
    </row>
    <row r="65" spans="1:13" x14ac:dyDescent="0.3">
      <c r="A65" t="s">
        <v>227</v>
      </c>
      <c r="B65">
        <v>1</v>
      </c>
      <c r="C65" t="s">
        <v>128</v>
      </c>
      <c r="D65" t="s">
        <v>126</v>
      </c>
      <c r="E65" t="s">
        <v>152</v>
      </c>
      <c r="F65" t="s">
        <v>122</v>
      </c>
      <c r="G65" t="s">
        <v>147</v>
      </c>
      <c r="H65" t="s">
        <v>148</v>
      </c>
      <c r="I65" t="s">
        <v>131</v>
      </c>
      <c r="J65" t="s">
        <v>123</v>
      </c>
      <c r="K65" t="s">
        <v>147</v>
      </c>
      <c r="L65">
        <v>47</v>
      </c>
      <c r="M65">
        <v>1471</v>
      </c>
    </row>
    <row r="66" spans="1:13" x14ac:dyDescent="0.3">
      <c r="A66" t="s">
        <v>228</v>
      </c>
      <c r="B66">
        <v>1</v>
      </c>
      <c r="C66" t="s">
        <v>130</v>
      </c>
      <c r="D66" t="s">
        <v>126</v>
      </c>
      <c r="E66" t="s">
        <v>152</v>
      </c>
      <c r="F66" t="s">
        <v>122</v>
      </c>
      <c r="G66" t="s">
        <v>147</v>
      </c>
      <c r="H66" t="s">
        <v>148</v>
      </c>
      <c r="I66" t="s">
        <v>129</v>
      </c>
      <c r="J66" t="s">
        <v>123</v>
      </c>
      <c r="K66" t="s">
        <v>126</v>
      </c>
      <c r="L66">
        <v>51</v>
      </c>
      <c r="M66">
        <v>1450</v>
      </c>
    </row>
    <row r="67" spans="1:13" x14ac:dyDescent="0.3">
      <c r="A67" t="s">
        <v>229</v>
      </c>
      <c r="B67">
        <v>1</v>
      </c>
      <c r="C67" t="s">
        <v>130</v>
      </c>
      <c r="D67" t="s">
        <v>126</v>
      </c>
      <c r="E67" t="s">
        <v>152</v>
      </c>
      <c r="F67" t="s">
        <v>122</v>
      </c>
      <c r="G67" t="s">
        <v>147</v>
      </c>
      <c r="H67" t="s">
        <v>148</v>
      </c>
      <c r="I67" t="s">
        <v>131</v>
      </c>
      <c r="J67" t="s">
        <v>133</v>
      </c>
      <c r="K67" t="s">
        <v>126</v>
      </c>
      <c r="L67">
        <v>49</v>
      </c>
      <c r="M67">
        <v>1460</v>
      </c>
    </row>
    <row r="68" spans="1:13" x14ac:dyDescent="0.3">
      <c r="A68" t="s">
        <v>145</v>
      </c>
      <c r="B68">
        <v>1</v>
      </c>
      <c r="C68" t="s">
        <v>128</v>
      </c>
      <c r="D68" t="s">
        <v>126</v>
      </c>
      <c r="E68" t="s">
        <v>152</v>
      </c>
      <c r="F68" t="s">
        <v>122</v>
      </c>
      <c r="G68" t="s">
        <v>147</v>
      </c>
      <c r="H68" t="s">
        <v>148</v>
      </c>
      <c r="I68" t="s">
        <v>131</v>
      </c>
      <c r="J68" t="s">
        <v>123</v>
      </c>
      <c r="K68" t="s">
        <v>147</v>
      </c>
      <c r="L68">
        <v>50</v>
      </c>
      <c r="M68">
        <v>1537</v>
      </c>
    </row>
    <row r="69" spans="1:13" x14ac:dyDescent="0.3">
      <c r="A69" t="s">
        <v>230</v>
      </c>
      <c r="B69">
        <v>0</v>
      </c>
      <c r="C69" t="s">
        <v>84</v>
      </c>
      <c r="D69" t="s">
        <v>84</v>
      </c>
      <c r="E69" t="s">
        <v>84</v>
      </c>
      <c r="F69" t="s">
        <v>84</v>
      </c>
      <c r="G69" t="s">
        <v>84</v>
      </c>
      <c r="H69" t="s">
        <v>84</v>
      </c>
      <c r="I69" t="s">
        <v>84</v>
      </c>
      <c r="J69" t="s">
        <v>84</v>
      </c>
      <c r="K69" t="s">
        <v>84</v>
      </c>
      <c r="L69">
        <v>19</v>
      </c>
      <c r="M69">
        <v>1154</v>
      </c>
    </row>
    <row r="70" spans="1:13" x14ac:dyDescent="0.3">
      <c r="A70" t="s">
        <v>231</v>
      </c>
      <c r="B70">
        <v>0</v>
      </c>
      <c r="C70" t="s">
        <v>84</v>
      </c>
      <c r="D70" t="s">
        <v>84</v>
      </c>
      <c r="E70" t="s">
        <v>84</v>
      </c>
      <c r="F70" t="s">
        <v>84</v>
      </c>
      <c r="G70" t="s">
        <v>84</v>
      </c>
      <c r="H70" t="s">
        <v>84</v>
      </c>
      <c r="I70" t="s">
        <v>84</v>
      </c>
      <c r="J70" t="s">
        <v>84</v>
      </c>
      <c r="K70" t="s">
        <v>84</v>
      </c>
      <c r="L70">
        <v>45</v>
      </c>
      <c r="M70">
        <v>1511</v>
      </c>
    </row>
    <row r="71" spans="1:13" x14ac:dyDescent="0.3">
      <c r="A71" t="s">
        <v>232</v>
      </c>
      <c r="B71">
        <v>1</v>
      </c>
      <c r="C71" t="s">
        <v>130</v>
      </c>
      <c r="D71" t="s">
        <v>126</v>
      </c>
      <c r="E71" t="s">
        <v>152</v>
      </c>
      <c r="F71" t="s">
        <v>122</v>
      </c>
      <c r="G71" t="s">
        <v>147</v>
      </c>
      <c r="H71" t="s">
        <v>148</v>
      </c>
      <c r="I71" t="s">
        <v>129</v>
      </c>
      <c r="J71" t="s">
        <v>123</v>
      </c>
      <c r="K71" t="s">
        <v>126</v>
      </c>
      <c r="L71">
        <v>44</v>
      </c>
      <c r="M71">
        <v>1409</v>
      </c>
    </row>
    <row r="72" spans="1:13" x14ac:dyDescent="0.3">
      <c r="A72" t="s">
        <v>233</v>
      </c>
      <c r="B72">
        <v>1</v>
      </c>
      <c r="C72" t="s">
        <v>128</v>
      </c>
      <c r="D72" t="s">
        <v>126</v>
      </c>
      <c r="E72" t="s">
        <v>152</v>
      </c>
      <c r="F72" t="s">
        <v>122</v>
      </c>
      <c r="G72" t="s">
        <v>147</v>
      </c>
      <c r="H72" t="s">
        <v>148</v>
      </c>
      <c r="I72" t="s">
        <v>131</v>
      </c>
      <c r="J72" t="s">
        <v>123</v>
      </c>
      <c r="K72" t="s">
        <v>147</v>
      </c>
      <c r="L72">
        <v>46</v>
      </c>
      <c r="M72">
        <v>1461</v>
      </c>
    </row>
    <row r="73" spans="1:13" x14ac:dyDescent="0.3">
      <c r="A73" t="s">
        <v>234</v>
      </c>
      <c r="B73">
        <v>1</v>
      </c>
      <c r="C73" t="s">
        <v>128</v>
      </c>
      <c r="D73" t="s">
        <v>126</v>
      </c>
      <c r="E73" t="s">
        <v>152</v>
      </c>
      <c r="F73" t="s">
        <v>122</v>
      </c>
      <c r="G73" t="s">
        <v>147</v>
      </c>
      <c r="H73" t="s">
        <v>148</v>
      </c>
      <c r="I73" t="s">
        <v>131</v>
      </c>
      <c r="J73" t="s">
        <v>123</v>
      </c>
      <c r="K73" t="s">
        <v>126</v>
      </c>
      <c r="L73">
        <v>49</v>
      </c>
      <c r="M73">
        <v>1521</v>
      </c>
    </row>
    <row r="74" spans="1:13" x14ac:dyDescent="0.3">
      <c r="A74" t="s">
        <v>235</v>
      </c>
      <c r="B74">
        <v>1</v>
      </c>
      <c r="C74" t="s">
        <v>128</v>
      </c>
      <c r="D74" t="s">
        <v>126</v>
      </c>
      <c r="E74" t="s">
        <v>152</v>
      </c>
      <c r="F74" t="s">
        <v>122</v>
      </c>
      <c r="G74" t="s">
        <v>147</v>
      </c>
      <c r="H74" t="s">
        <v>148</v>
      </c>
      <c r="I74" t="s">
        <v>131</v>
      </c>
      <c r="J74" t="s">
        <v>123</v>
      </c>
      <c r="K74" t="s">
        <v>147</v>
      </c>
      <c r="L74">
        <v>48</v>
      </c>
      <c r="M74">
        <v>1503</v>
      </c>
    </row>
    <row r="75" spans="1:13" x14ac:dyDescent="0.3">
      <c r="A75" t="s">
        <v>236</v>
      </c>
      <c r="B75">
        <v>1</v>
      </c>
      <c r="C75" t="s">
        <v>128</v>
      </c>
      <c r="D75" t="s">
        <v>126</v>
      </c>
      <c r="E75" t="s">
        <v>152</v>
      </c>
      <c r="F75" t="s">
        <v>122</v>
      </c>
      <c r="G75" t="s">
        <v>147</v>
      </c>
      <c r="H75" t="s">
        <v>148</v>
      </c>
      <c r="I75" t="s">
        <v>131</v>
      </c>
      <c r="J75" t="s">
        <v>123</v>
      </c>
      <c r="K75" t="s">
        <v>147</v>
      </c>
      <c r="L75">
        <v>54</v>
      </c>
      <c r="M75">
        <v>1519</v>
      </c>
    </row>
    <row r="76" spans="1:13" x14ac:dyDescent="0.3">
      <c r="A76" t="s">
        <v>237</v>
      </c>
      <c r="B76">
        <v>1</v>
      </c>
      <c r="C76" t="s">
        <v>128</v>
      </c>
      <c r="D76" t="s">
        <v>126</v>
      </c>
      <c r="E76" t="s">
        <v>152</v>
      </c>
      <c r="F76" t="s">
        <v>122</v>
      </c>
      <c r="G76" t="s">
        <v>147</v>
      </c>
      <c r="H76" t="s">
        <v>168</v>
      </c>
      <c r="I76" t="s">
        <v>131</v>
      </c>
      <c r="J76" t="s">
        <v>123</v>
      </c>
      <c r="K76" t="s">
        <v>126</v>
      </c>
      <c r="L76">
        <v>46</v>
      </c>
      <c r="M76">
        <v>1472</v>
      </c>
    </row>
    <row r="77" spans="1:13" x14ac:dyDescent="0.3">
      <c r="A77" t="s">
        <v>238</v>
      </c>
      <c r="B77">
        <v>0</v>
      </c>
      <c r="C77" t="s">
        <v>84</v>
      </c>
      <c r="D77" t="s">
        <v>84</v>
      </c>
      <c r="E77" t="s">
        <v>84</v>
      </c>
      <c r="F77" t="s">
        <v>84</v>
      </c>
      <c r="G77" t="s">
        <v>84</v>
      </c>
      <c r="H77" t="s">
        <v>84</v>
      </c>
      <c r="I77" t="s">
        <v>84</v>
      </c>
      <c r="J77" t="s">
        <v>84</v>
      </c>
      <c r="K77" t="s">
        <v>84</v>
      </c>
      <c r="L77" t="s">
        <v>84</v>
      </c>
      <c r="M77" t="s">
        <v>84</v>
      </c>
    </row>
    <row r="78" spans="1:13" x14ac:dyDescent="0.3">
      <c r="A78" t="s">
        <v>238</v>
      </c>
      <c r="B78">
        <v>0</v>
      </c>
      <c r="C78" t="s">
        <v>84</v>
      </c>
      <c r="D78" t="s">
        <v>84</v>
      </c>
      <c r="E78" t="s">
        <v>84</v>
      </c>
      <c r="F78" t="s">
        <v>84</v>
      </c>
      <c r="G78" t="s">
        <v>84</v>
      </c>
      <c r="H78" t="s">
        <v>84</v>
      </c>
      <c r="I78" t="s">
        <v>84</v>
      </c>
      <c r="J78" t="s">
        <v>84</v>
      </c>
      <c r="K78" t="s">
        <v>84</v>
      </c>
      <c r="L78" t="s">
        <v>84</v>
      </c>
      <c r="M78" t="s">
        <v>84</v>
      </c>
    </row>
    <row r="79" spans="1:13" x14ac:dyDescent="0.3">
      <c r="A79" t="s">
        <v>238</v>
      </c>
      <c r="B79">
        <v>0</v>
      </c>
      <c r="C79" t="s">
        <v>84</v>
      </c>
      <c r="D79" t="s">
        <v>84</v>
      </c>
      <c r="E79" t="s">
        <v>84</v>
      </c>
      <c r="F79" t="s">
        <v>84</v>
      </c>
      <c r="G79" t="s">
        <v>84</v>
      </c>
      <c r="H79" t="s">
        <v>84</v>
      </c>
      <c r="I79" t="s">
        <v>84</v>
      </c>
      <c r="J79" t="s">
        <v>84</v>
      </c>
      <c r="K79" t="s">
        <v>84</v>
      </c>
      <c r="L79" t="s">
        <v>84</v>
      </c>
      <c r="M79" t="s">
        <v>84</v>
      </c>
    </row>
    <row r="80" spans="1:13" x14ac:dyDescent="0.3">
      <c r="A80" t="s">
        <v>238</v>
      </c>
      <c r="B80">
        <v>0</v>
      </c>
      <c r="C80" t="s">
        <v>84</v>
      </c>
      <c r="D80" t="s">
        <v>84</v>
      </c>
      <c r="E80" t="s">
        <v>84</v>
      </c>
      <c r="F80" t="s">
        <v>84</v>
      </c>
      <c r="G80" t="s">
        <v>84</v>
      </c>
      <c r="H80" t="s">
        <v>84</v>
      </c>
      <c r="I80" t="s">
        <v>84</v>
      </c>
      <c r="J80" t="s">
        <v>84</v>
      </c>
      <c r="K80" t="s">
        <v>84</v>
      </c>
      <c r="L80" t="s">
        <v>84</v>
      </c>
      <c r="M80" t="s">
        <v>84</v>
      </c>
    </row>
    <row r="81" spans="1:13" x14ac:dyDescent="0.3">
      <c r="A81" t="s">
        <v>238</v>
      </c>
      <c r="B81">
        <v>0</v>
      </c>
      <c r="C81" t="s">
        <v>84</v>
      </c>
      <c r="D81" t="s">
        <v>84</v>
      </c>
      <c r="E81" t="s">
        <v>84</v>
      </c>
      <c r="F81" t="s">
        <v>84</v>
      </c>
      <c r="G81" t="s">
        <v>84</v>
      </c>
      <c r="H81" t="s">
        <v>84</v>
      </c>
      <c r="I81" t="s">
        <v>84</v>
      </c>
      <c r="J81" t="s">
        <v>84</v>
      </c>
      <c r="K81" t="s">
        <v>84</v>
      </c>
      <c r="L81" t="s">
        <v>84</v>
      </c>
      <c r="M81" t="s">
        <v>84</v>
      </c>
    </row>
    <row r="82" spans="1:13" x14ac:dyDescent="0.3">
      <c r="A82" t="s">
        <v>238</v>
      </c>
      <c r="B82">
        <v>0</v>
      </c>
      <c r="C82" t="s">
        <v>84</v>
      </c>
      <c r="D82" t="s">
        <v>84</v>
      </c>
      <c r="E82" t="s">
        <v>84</v>
      </c>
      <c r="F82" t="s">
        <v>84</v>
      </c>
      <c r="G82" t="s">
        <v>84</v>
      </c>
      <c r="H82" t="s">
        <v>84</v>
      </c>
      <c r="I82" t="s">
        <v>84</v>
      </c>
      <c r="J82" t="s">
        <v>84</v>
      </c>
      <c r="K82" t="s">
        <v>84</v>
      </c>
      <c r="L82" t="s">
        <v>84</v>
      </c>
      <c r="M82" t="s">
        <v>84</v>
      </c>
    </row>
    <row r="83" spans="1:13" x14ac:dyDescent="0.3">
      <c r="A83" t="s">
        <v>238</v>
      </c>
      <c r="B83">
        <v>0</v>
      </c>
      <c r="C83" t="s">
        <v>84</v>
      </c>
      <c r="D83" t="s">
        <v>84</v>
      </c>
      <c r="E83" t="s">
        <v>84</v>
      </c>
      <c r="F83" t="s">
        <v>84</v>
      </c>
      <c r="G83" t="s">
        <v>84</v>
      </c>
      <c r="H83" t="s">
        <v>84</v>
      </c>
      <c r="I83" t="s">
        <v>84</v>
      </c>
      <c r="J83" t="s">
        <v>84</v>
      </c>
      <c r="K83" t="s">
        <v>84</v>
      </c>
      <c r="L83" t="s">
        <v>84</v>
      </c>
      <c r="M83" t="s">
        <v>84</v>
      </c>
    </row>
    <row r="84" spans="1:13" x14ac:dyDescent="0.3">
      <c r="A84" t="s">
        <v>238</v>
      </c>
      <c r="B84">
        <v>0</v>
      </c>
      <c r="C84" t="s">
        <v>84</v>
      </c>
      <c r="D84" t="s">
        <v>84</v>
      </c>
      <c r="E84" t="s">
        <v>84</v>
      </c>
      <c r="F84" t="s">
        <v>84</v>
      </c>
      <c r="G84" t="s">
        <v>84</v>
      </c>
      <c r="H84" t="s">
        <v>84</v>
      </c>
      <c r="I84" t="s">
        <v>84</v>
      </c>
      <c r="J84" t="s">
        <v>84</v>
      </c>
      <c r="K84" t="s">
        <v>84</v>
      </c>
      <c r="L84" t="s">
        <v>84</v>
      </c>
      <c r="M84" t="s">
        <v>84</v>
      </c>
    </row>
    <row r="85" spans="1:13" x14ac:dyDescent="0.3">
      <c r="A85" t="s">
        <v>238</v>
      </c>
      <c r="B85">
        <v>0</v>
      </c>
      <c r="C85" t="s">
        <v>84</v>
      </c>
      <c r="D85" t="s">
        <v>84</v>
      </c>
      <c r="E85" t="s">
        <v>84</v>
      </c>
      <c r="F85" t="s">
        <v>84</v>
      </c>
      <c r="G85" t="s">
        <v>84</v>
      </c>
      <c r="H85" t="s">
        <v>84</v>
      </c>
      <c r="I85" t="s">
        <v>84</v>
      </c>
      <c r="J85" t="s">
        <v>84</v>
      </c>
      <c r="K85" t="s">
        <v>84</v>
      </c>
      <c r="L85" t="s">
        <v>84</v>
      </c>
      <c r="M85" t="s">
        <v>84</v>
      </c>
    </row>
    <row r="86" spans="1:13" x14ac:dyDescent="0.3">
      <c r="A86" t="s">
        <v>238</v>
      </c>
      <c r="B86">
        <v>0</v>
      </c>
      <c r="C86" t="s">
        <v>84</v>
      </c>
      <c r="D86" t="s">
        <v>84</v>
      </c>
      <c r="E86" t="s">
        <v>84</v>
      </c>
      <c r="F86" t="s">
        <v>84</v>
      </c>
      <c r="G86" t="s">
        <v>84</v>
      </c>
      <c r="H86" t="s">
        <v>84</v>
      </c>
      <c r="I86" t="s">
        <v>84</v>
      </c>
      <c r="J86" t="s">
        <v>84</v>
      </c>
      <c r="K86" t="s">
        <v>84</v>
      </c>
      <c r="L86" t="s">
        <v>84</v>
      </c>
      <c r="M86" t="s">
        <v>84</v>
      </c>
    </row>
    <row r="87" spans="1:13" x14ac:dyDescent="0.3">
      <c r="A87" t="s">
        <v>238</v>
      </c>
      <c r="B87">
        <v>0</v>
      </c>
      <c r="C87" t="s">
        <v>84</v>
      </c>
      <c r="D87" t="s">
        <v>84</v>
      </c>
      <c r="E87" t="s">
        <v>84</v>
      </c>
      <c r="F87" t="s">
        <v>84</v>
      </c>
      <c r="G87" t="s">
        <v>84</v>
      </c>
      <c r="H87" t="s">
        <v>84</v>
      </c>
      <c r="I87" t="s">
        <v>84</v>
      </c>
      <c r="J87" t="s">
        <v>84</v>
      </c>
      <c r="K87" t="s">
        <v>84</v>
      </c>
      <c r="L87" t="s">
        <v>84</v>
      </c>
      <c r="M87" t="s">
        <v>84</v>
      </c>
    </row>
    <row r="88" spans="1:13" x14ac:dyDescent="0.3">
      <c r="A88" t="s">
        <v>238</v>
      </c>
      <c r="B88">
        <v>0</v>
      </c>
      <c r="C88" t="s">
        <v>84</v>
      </c>
      <c r="D88" t="s">
        <v>84</v>
      </c>
      <c r="E88" t="s">
        <v>84</v>
      </c>
      <c r="F88" t="s">
        <v>84</v>
      </c>
      <c r="G88" t="s">
        <v>84</v>
      </c>
      <c r="H88" t="s">
        <v>84</v>
      </c>
      <c r="I88" t="s">
        <v>84</v>
      </c>
      <c r="J88" t="s">
        <v>84</v>
      </c>
      <c r="K88" t="s">
        <v>84</v>
      </c>
      <c r="L88" t="s">
        <v>84</v>
      </c>
      <c r="M88" t="s">
        <v>84</v>
      </c>
    </row>
    <row r="89" spans="1:13" x14ac:dyDescent="0.3">
      <c r="A89" t="s">
        <v>238</v>
      </c>
      <c r="B89">
        <v>0</v>
      </c>
      <c r="C89" t="s">
        <v>84</v>
      </c>
      <c r="D89" t="s">
        <v>84</v>
      </c>
      <c r="E89" t="s">
        <v>84</v>
      </c>
      <c r="F89" t="s">
        <v>84</v>
      </c>
      <c r="G89" t="s">
        <v>84</v>
      </c>
      <c r="H89" t="s">
        <v>84</v>
      </c>
      <c r="I89" t="s">
        <v>84</v>
      </c>
      <c r="J89" t="s">
        <v>84</v>
      </c>
      <c r="K89" t="s">
        <v>84</v>
      </c>
      <c r="L89" t="s">
        <v>84</v>
      </c>
      <c r="M89" t="s">
        <v>84</v>
      </c>
    </row>
    <row r="90" spans="1:13" x14ac:dyDescent="0.3">
      <c r="A90" t="s">
        <v>238</v>
      </c>
      <c r="B90">
        <v>0</v>
      </c>
      <c r="C90" t="s">
        <v>84</v>
      </c>
      <c r="D90" t="s">
        <v>84</v>
      </c>
      <c r="E90" t="s">
        <v>84</v>
      </c>
      <c r="F90" t="s">
        <v>84</v>
      </c>
      <c r="G90" t="s">
        <v>84</v>
      </c>
      <c r="H90" t="s">
        <v>84</v>
      </c>
      <c r="I90" t="s">
        <v>84</v>
      </c>
      <c r="J90" t="s">
        <v>84</v>
      </c>
      <c r="K90" t="s">
        <v>84</v>
      </c>
      <c r="L90" t="s">
        <v>84</v>
      </c>
      <c r="M90" t="s">
        <v>84</v>
      </c>
    </row>
    <row r="91" spans="1:13" x14ac:dyDescent="0.3">
      <c r="A91" t="s">
        <v>238</v>
      </c>
      <c r="B91">
        <v>0</v>
      </c>
      <c r="C91" t="s">
        <v>84</v>
      </c>
      <c r="D91" t="s">
        <v>84</v>
      </c>
      <c r="E91" t="s">
        <v>84</v>
      </c>
      <c r="F91" t="s">
        <v>84</v>
      </c>
      <c r="G91" t="s">
        <v>84</v>
      </c>
      <c r="H91" t="s">
        <v>84</v>
      </c>
      <c r="I91" t="s">
        <v>84</v>
      </c>
      <c r="J91" t="s">
        <v>84</v>
      </c>
      <c r="K91" t="s">
        <v>84</v>
      </c>
      <c r="L91" t="s">
        <v>84</v>
      </c>
      <c r="M91" t="s">
        <v>84</v>
      </c>
    </row>
    <row r="92" spans="1:13" x14ac:dyDescent="0.3">
      <c r="A92" t="s">
        <v>238</v>
      </c>
      <c r="B92">
        <v>0</v>
      </c>
      <c r="C92" t="s">
        <v>84</v>
      </c>
      <c r="D92" t="s">
        <v>84</v>
      </c>
      <c r="E92" t="s">
        <v>84</v>
      </c>
      <c r="F92" t="s">
        <v>84</v>
      </c>
      <c r="G92" t="s">
        <v>84</v>
      </c>
      <c r="H92" t="s">
        <v>84</v>
      </c>
      <c r="I92" t="s">
        <v>84</v>
      </c>
      <c r="J92" t="s">
        <v>84</v>
      </c>
      <c r="K92" t="s">
        <v>84</v>
      </c>
      <c r="L92" t="s">
        <v>84</v>
      </c>
      <c r="M92" t="s">
        <v>84</v>
      </c>
    </row>
    <row r="93" spans="1:13" x14ac:dyDescent="0.3">
      <c r="A93" t="s">
        <v>238</v>
      </c>
      <c r="B93">
        <v>0</v>
      </c>
      <c r="C93" t="s">
        <v>84</v>
      </c>
      <c r="D93" t="s">
        <v>84</v>
      </c>
      <c r="E93" t="s">
        <v>84</v>
      </c>
      <c r="F93" t="s">
        <v>84</v>
      </c>
      <c r="G93" t="s">
        <v>84</v>
      </c>
      <c r="H93" t="s">
        <v>84</v>
      </c>
      <c r="I93" t="s">
        <v>84</v>
      </c>
      <c r="J93" t="s">
        <v>84</v>
      </c>
      <c r="K93" t="s">
        <v>84</v>
      </c>
      <c r="L93" t="s">
        <v>84</v>
      </c>
      <c r="M93" t="s">
        <v>84</v>
      </c>
    </row>
    <row r="94" spans="1:13" x14ac:dyDescent="0.3">
      <c r="A94" t="s">
        <v>238</v>
      </c>
      <c r="B94">
        <v>0</v>
      </c>
      <c r="C94" t="s">
        <v>84</v>
      </c>
      <c r="D94" t="s">
        <v>84</v>
      </c>
      <c r="E94" t="s">
        <v>84</v>
      </c>
      <c r="F94" t="s">
        <v>84</v>
      </c>
      <c r="G94" t="s">
        <v>84</v>
      </c>
      <c r="H94" t="s">
        <v>84</v>
      </c>
      <c r="I94" t="s">
        <v>84</v>
      </c>
      <c r="J94" t="s">
        <v>84</v>
      </c>
      <c r="K94" t="s">
        <v>84</v>
      </c>
      <c r="L94" t="s">
        <v>84</v>
      </c>
      <c r="M94" t="s">
        <v>84</v>
      </c>
    </row>
    <row r="95" spans="1:13" x14ac:dyDescent="0.3">
      <c r="A95" t="s">
        <v>238</v>
      </c>
      <c r="B95">
        <v>0</v>
      </c>
      <c r="C95" t="s">
        <v>84</v>
      </c>
      <c r="D95" t="s">
        <v>84</v>
      </c>
      <c r="E95" t="s">
        <v>84</v>
      </c>
      <c r="F95" t="s">
        <v>84</v>
      </c>
      <c r="G95" t="s">
        <v>84</v>
      </c>
      <c r="H95" t="s">
        <v>84</v>
      </c>
      <c r="I95" t="s">
        <v>84</v>
      </c>
      <c r="J95" t="s">
        <v>84</v>
      </c>
      <c r="K95" t="s">
        <v>84</v>
      </c>
      <c r="L95" t="s">
        <v>84</v>
      </c>
      <c r="M95" t="s">
        <v>84</v>
      </c>
    </row>
    <row r="96" spans="1:13" x14ac:dyDescent="0.3">
      <c r="A96" t="s">
        <v>239</v>
      </c>
      <c r="B96">
        <v>1</v>
      </c>
      <c r="C96" t="s">
        <v>128</v>
      </c>
      <c r="D96" t="s">
        <v>126</v>
      </c>
      <c r="E96" t="s">
        <v>152</v>
      </c>
      <c r="F96" t="s">
        <v>122</v>
      </c>
      <c r="G96" t="s">
        <v>147</v>
      </c>
      <c r="H96" t="s">
        <v>168</v>
      </c>
      <c r="I96" t="s">
        <v>131</v>
      </c>
      <c r="J96" t="s">
        <v>123</v>
      </c>
      <c r="K96" t="s">
        <v>147</v>
      </c>
      <c r="L96">
        <v>32</v>
      </c>
      <c r="M96">
        <v>1391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20" sqref="B20:B22"/>
    </sheetView>
  </sheetViews>
  <sheetFormatPr defaultColWidth="8.77734375" defaultRowHeight="13.2" x14ac:dyDescent="0.25"/>
  <cols>
    <col min="1" max="2" width="8.77734375" style="49" customWidth="1"/>
    <col min="3" max="16384" width="8.77734375" style="136"/>
  </cols>
  <sheetData>
    <row r="1" spans="1:2" ht="4.5" customHeight="1" x14ac:dyDescent="0.25">
      <c r="A1" s="138"/>
    </row>
    <row r="2" spans="1:2" x14ac:dyDescent="0.25">
      <c r="A2" s="173"/>
      <c r="B2" s="173"/>
    </row>
    <row r="3" spans="1:2" x14ac:dyDescent="0.25">
      <c r="A3" s="173"/>
      <c r="B3" s="173"/>
    </row>
    <row r="4" spans="1:2" x14ac:dyDescent="0.25">
      <c r="A4" s="173"/>
      <c r="B4" s="173"/>
    </row>
    <row r="5" spans="1:2" x14ac:dyDescent="0.25">
      <c r="A5" s="178"/>
      <c r="B5" s="173"/>
    </row>
    <row r="6" spans="1:2" ht="12.75" customHeight="1" x14ac:dyDescent="0.25">
      <c r="A6" s="178"/>
      <c r="B6" s="173"/>
    </row>
    <row r="7" spans="1:2" ht="12.75" customHeight="1" x14ac:dyDescent="0.25">
      <c r="A7" s="178"/>
      <c r="B7" s="173"/>
    </row>
    <row r="8" spans="1:2" ht="12.75" customHeight="1" x14ac:dyDescent="0.25">
      <c r="A8" s="173"/>
      <c r="B8" s="173"/>
    </row>
    <row r="9" spans="1:2" ht="12.75" customHeight="1" x14ac:dyDescent="0.25">
      <c r="A9" s="173"/>
      <c r="B9" s="173"/>
    </row>
    <row r="10" spans="1:2" ht="12.75" customHeight="1" x14ac:dyDescent="0.25">
      <c r="A10" s="173"/>
      <c r="B10" s="173"/>
    </row>
    <row r="11" spans="1:2" x14ac:dyDescent="0.25">
      <c r="A11" s="173"/>
      <c r="B11" s="173"/>
    </row>
    <row r="12" spans="1:2" ht="12.75" customHeight="1" x14ac:dyDescent="0.25">
      <c r="A12" s="173"/>
      <c r="B12" s="173"/>
    </row>
    <row r="13" spans="1:2" ht="12.75" customHeight="1" x14ac:dyDescent="0.25">
      <c r="A13" s="173"/>
      <c r="B13" s="173"/>
    </row>
    <row r="14" spans="1:2" ht="12.75" customHeight="1" x14ac:dyDescent="0.25">
      <c r="A14" s="177"/>
      <c r="B14" s="173"/>
    </row>
    <row r="15" spans="1:2" ht="12.75" customHeight="1" x14ac:dyDescent="0.25">
      <c r="A15" s="177"/>
      <c r="B15" s="173"/>
    </row>
    <row r="16" spans="1:2" x14ac:dyDescent="0.25">
      <c r="A16" s="177"/>
      <c r="B16" s="173"/>
    </row>
    <row r="17" spans="1:2" x14ac:dyDescent="0.25">
      <c r="A17" s="176"/>
      <c r="B17" s="176"/>
    </row>
    <row r="18" spans="1:2" x14ac:dyDescent="0.25">
      <c r="A18" s="176"/>
      <c r="B18" s="176"/>
    </row>
    <row r="19" spans="1:2" x14ac:dyDescent="0.25">
      <c r="A19" s="176"/>
      <c r="B19" s="176"/>
    </row>
    <row r="20" spans="1:2" x14ac:dyDescent="0.25">
      <c r="A20" s="176"/>
      <c r="B20" s="176"/>
    </row>
    <row r="21" spans="1:2" x14ac:dyDescent="0.25">
      <c r="A21" s="176"/>
      <c r="B21" s="176"/>
    </row>
    <row r="22" spans="1:2" x14ac:dyDescent="0.25">
      <c r="A22" s="176"/>
      <c r="B22" s="176"/>
    </row>
    <row r="23" spans="1:2" x14ac:dyDescent="0.25">
      <c r="A23" s="173"/>
      <c r="B23" s="173"/>
    </row>
    <row r="24" spans="1:2" x14ac:dyDescent="0.25">
      <c r="A24" s="173"/>
      <c r="B24" s="173"/>
    </row>
    <row r="25" spans="1:2" x14ac:dyDescent="0.25">
      <c r="A25" s="173"/>
      <c r="B25" s="173"/>
    </row>
    <row r="29" spans="1:2" x14ac:dyDescent="0.25">
      <c r="A29" s="181"/>
      <c r="B29" s="181"/>
    </row>
    <row r="30" spans="1:2" x14ac:dyDescent="0.25">
      <c r="A30" s="181"/>
      <c r="B30" s="181"/>
    </row>
    <row r="31" spans="1:2" x14ac:dyDescent="0.25">
      <c r="A31" s="181"/>
      <c r="B31" s="181"/>
    </row>
    <row r="32" spans="1:2" x14ac:dyDescent="0.25">
      <c r="A32" s="181"/>
      <c r="B32" s="181"/>
    </row>
    <row r="33" spans="1:201" x14ac:dyDescent="0.25">
      <c r="A33" s="181"/>
      <c r="B33" s="181"/>
    </row>
    <row r="34" spans="1:201" x14ac:dyDescent="0.25">
      <c r="A34" s="181"/>
      <c r="B34" s="181"/>
    </row>
    <row r="35" spans="1:201" x14ac:dyDescent="0.25">
      <c r="A35" s="181"/>
      <c r="B35" s="181"/>
    </row>
    <row r="36" spans="1:201" x14ac:dyDescent="0.25">
      <c r="A36" s="181"/>
      <c r="B36" s="181"/>
    </row>
    <row r="37" spans="1:201" x14ac:dyDescent="0.25">
      <c r="A37" s="181"/>
      <c r="B37" s="181"/>
    </row>
    <row r="38" spans="1:201" x14ac:dyDescent="0.25">
      <c r="A38" s="135"/>
    </row>
    <row r="44" spans="1:201" x14ac:dyDescent="0.25">
      <c r="GS44" s="78"/>
    </row>
  </sheetData>
  <sheetProtection selectLockedCells="1"/>
  <mergeCells count="22">
    <mergeCell ref="B17:B19"/>
    <mergeCell ref="A8:A10"/>
    <mergeCell ref="B8:B10"/>
    <mergeCell ref="A11:A13"/>
    <mergeCell ref="B11:B13"/>
    <mergeCell ref="A14:A16"/>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cp:lastModifiedBy>
  <dcterms:created xsi:type="dcterms:W3CDTF">2014-09-04T10:35:50Z</dcterms:created>
  <dcterms:modified xsi:type="dcterms:W3CDTF">2021-04-29T22:21:17Z</dcterms:modified>
</cp:coreProperties>
</file>