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Paul\Footy Tipper\2020\Ladder Predictor\"/>
    </mc:Choice>
  </mc:AlternateContent>
  <xr:revisionPtr revIDLastSave="0" documentId="13_ncr:1_{6734E81F-9A08-4B4A-93E0-398E8C7C59D2}" xr6:coauthVersionLast="45" xr6:coauthVersionMax="45"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C94" i="1" s="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3" i="1" l="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K82" i="1" s="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61" i="1" l="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3" i="1"/>
  <c r="AC7" i="1"/>
  <c r="X22" i="1"/>
  <c r="Z22" i="1" s="1"/>
  <c r="AC23" i="1"/>
  <c r="AC24" i="1"/>
  <c r="AC34" i="1"/>
  <c r="AC46" i="1"/>
  <c r="AC48" i="1"/>
  <c r="X56" i="1"/>
  <c r="Z56" i="1" s="1"/>
  <c r="AC61" i="1"/>
  <c r="AC62" i="1"/>
  <c r="AC65" i="1"/>
  <c r="AC69" i="1"/>
  <c r="AC80" i="1"/>
  <c r="AC85" i="1"/>
  <c r="AC71" i="1"/>
  <c r="AC4" i="1"/>
  <c r="AC9" i="1"/>
  <c r="X15" i="1"/>
  <c r="Z15" i="1" s="1"/>
  <c r="X20" i="1"/>
  <c r="Z20"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W22" i="1" s="1"/>
  <c r="Y22" i="1" s="1"/>
  <c r="AA22" i="1" s="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21" i="1"/>
  <c r="Z21" i="1" s="1"/>
  <c r="X24" i="1"/>
  <c r="Z24" i="1" s="1"/>
  <c r="X42" i="1"/>
  <c r="Z42" i="1" s="1"/>
  <c r="X65" i="1"/>
  <c r="Z65" i="1" s="1"/>
  <c r="X52" i="1"/>
  <c r="Z52"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4" i="1"/>
  <c r="Y24" i="1" s="1"/>
  <c r="AA24" i="1" s="1"/>
  <c r="W21" i="1"/>
  <c r="Y21" i="1" s="1"/>
  <c r="AA21" i="1" s="1"/>
  <c r="W42" i="1"/>
  <c r="Y42" i="1" s="1"/>
  <c r="AA42" i="1" s="1"/>
  <c r="W52" i="1"/>
  <c r="Y52" i="1" s="1"/>
  <c r="AA5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F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54" i="1"/>
  <c r="F64" i="1"/>
  <c r="E64" i="1"/>
  <c r="F26" i="1"/>
  <c r="E26" i="1"/>
  <c r="E31" i="1" l="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27" i="15" l="1"/>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<sst xmlns="http://schemas.openxmlformats.org/spreadsheetml/2006/main" count="1296" uniqueCount="249">
  <si>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</si>
  <si>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</si>
  <si>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</si>
  <si>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</si>
  <si>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</si>
  <si>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</si>
  <si>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</si>
  <si>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</si>
  <si>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</si>
  <si>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</si>
  <si>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</si>
  <si>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</si>
  <si>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</si>
  <si>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</si>
  <si>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</si>
  <si>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</si>
  <si>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</si>
  <si>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</si>
  <si>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</si>
  <si>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</si>
  <si>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</si>
  <si>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</si>
  <si>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</si>
  <si>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</si>
  <si>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</si>
  <si>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</si>
  <si>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</si>
  <si>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</si>
  <si>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</si>
  <si>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</si>
  <si>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</si>
  <si>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</si>
  <si>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</si>
  <si>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</si>
  <si>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</si>
  <si>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</si>
  <si>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</si>
  <si>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</si>
  <si>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</si>
  <si>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</si>
  <si>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</si>
  <si>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</si>
  <si>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</si>
  <si>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</si>
  <si>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</si>
  <si>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</si>
  <si>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</si>
  <si>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</si>
  <si>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</si>
  <si>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</si>
  <si>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</si>
  <si>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</si>
  <si>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</si>
  <si>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</si>
  <si>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</si>
  <si>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</si>
  <si>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</si>
  <si>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</si>
  <si>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</si>
  <si>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</si>
  <si>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</si>
  <si>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</si>
  <si>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</si>
  <si>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</si>
  <si>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</si>
  <si>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</si>
  <si>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</si>
  <si>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</si>
  <si>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</si>
  <si>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</si>
  <si>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</si>
  <si>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</si>
  <si>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</si>
  <si>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</si>
  <si>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</si>
  <si>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</si>
  <si>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</si>
  <si>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</si>
  <si>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</si>
  <si>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</si>
  <si>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</si>
  <si>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</si>
  <si>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</si>
  <si>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</si>
  <si>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</si>
  <si>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</si>
  <si>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</si>
  <si>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</si>
  <si>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</si>
  <si>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</si>
  <si>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</si>
  <si>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</si>
  <si>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</si>
  <si>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</si>
  <si>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</si>
  <si>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</si>
  <si>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</si>
  <si>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</si>
  <si>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</si>
  <si>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</si>
  <si>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</si>
  <si>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</si>
  <si>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</si>
  <si>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</si>
  <si>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</si>
  <si>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</si>
  <si>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</si>
  <si>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</si>
  <si>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</si>
  <si>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</si>
  <si>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</si>
  <si>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</si>
  <si>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</si>
  <si>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</si>
  <si>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</si>
  <si>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</si>
  <si>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</si>
  <si>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</si>
  <si>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</si>
  <si>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</si>
  <si>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</si>
  <si>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</si>
  <si>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</si>
  <si>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</si>
  <si>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</si>
  <si>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</si>
  <si>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</si>
  <si>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</si>
  <si>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</si>
  <si>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</si>
  <si>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</si>
  <si>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</si>
  <si>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</si>
  <si>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</si>
  <si>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</si>
  <si>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</si>
  <si>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</si>
  <si>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</si>
  <si>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</si>
  <si>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</si>
  <si>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</si>
  <si>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</si>
  <si>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</si>
  <si>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</si>
  <si>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</si>
  <si>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</si>
  <si>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</si>
  <si>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</si>
  <si>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</si>
  <si>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</si>
  <si>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</si>
  <si>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</si>
  <si>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</si>
  <si>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13.1</t>
  </si>
  <si>
    <t>Thursday  AEST</t>
  </si>
  <si>
    <t>AaronC</t>
  </si>
  <si>
    <t>13.2</t>
  </si>
  <si>
    <t>Friday  AEST</t>
  </si>
  <si>
    <t>Adel Messih</t>
  </si>
  <si>
    <t>Titans</t>
  </si>
  <si>
    <t>13.3</t>
  </si>
  <si>
    <t>Active Players</t>
  </si>
  <si>
    <t>Admireel</t>
  </si>
  <si>
    <t>13.4</t>
  </si>
  <si>
    <t>Saturday  AEST</t>
  </si>
  <si>
    <t>Arun Gopal</t>
  </si>
  <si>
    <t>13.5</t>
  </si>
  <si>
    <t>Bart Simpson</t>
  </si>
  <si>
    <t>13.6</t>
  </si>
  <si>
    <t>Beaver</t>
  </si>
  <si>
    <t>13.7</t>
  </si>
  <si>
    <t>Sunday  AEST</t>
  </si>
  <si>
    <t>Big Moose</t>
  </si>
  <si>
    <t>13.8</t>
  </si>
  <si>
    <t>BigBadBenji</t>
  </si>
  <si>
    <t>BillyB</t>
  </si>
  <si>
    <t>blakey94</t>
  </si>
  <si>
    <t>Bridie</t>
  </si>
  <si>
    <t>Budgie</t>
  </si>
  <si>
    <t>Camo</t>
  </si>
  <si>
    <t>Carlos</t>
  </si>
  <si>
    <t>chur_moi</t>
  </si>
  <si>
    <t>Cruella</t>
  </si>
  <si>
    <t>DaveM</t>
  </si>
  <si>
    <t>Dizzler</t>
  </si>
  <si>
    <t>DragonDazz</t>
  </si>
  <si>
    <t>gdadisho</t>
  </si>
  <si>
    <t>GeorgeTheDragon</t>
  </si>
  <si>
    <t>Gerehu3B</t>
  </si>
  <si>
    <t>Guru</t>
  </si>
  <si>
    <t>Guru2810</t>
  </si>
  <si>
    <t>Ian from Dublin</t>
  </si>
  <si>
    <t>iKana675</t>
  </si>
  <si>
    <t>ILuvGal</t>
  </si>
  <si>
    <t>isha68</t>
  </si>
  <si>
    <t>Big Baba</t>
  </si>
  <si>
    <t>Kauboi</t>
  </si>
  <si>
    <t>Krusty</t>
  </si>
  <si>
    <t>Lou</t>
  </si>
  <si>
    <t>Magnum</t>
  </si>
  <si>
    <t>Mary McGregor</t>
  </si>
  <si>
    <t>MB</t>
  </si>
  <si>
    <t>MJP181</t>
  </si>
  <si>
    <t>MLC</t>
  </si>
  <si>
    <t>Mosso</t>
  </si>
  <si>
    <t>MR. TAYLOR</t>
  </si>
  <si>
    <t>murch</t>
  </si>
  <si>
    <t>mynira</t>
  </si>
  <si>
    <t>nand</t>
  </si>
  <si>
    <t>NotLast</t>
  </si>
  <si>
    <t>Offside_Touchie</t>
  </si>
  <si>
    <t>Om786</t>
  </si>
  <si>
    <t>Pablo</t>
  </si>
  <si>
    <t>PabloW</t>
  </si>
  <si>
    <t>Panthers29</t>
  </si>
  <si>
    <t>plugger</t>
  </si>
  <si>
    <t>PurpleHaze</t>
  </si>
  <si>
    <t>Robbie’s Back</t>
  </si>
  <si>
    <t>Robert Cook</t>
  </si>
  <si>
    <t>Rossco the Pom</t>
  </si>
  <si>
    <t>SCULKIN</t>
  </si>
  <si>
    <t>Seano</t>
  </si>
  <si>
    <t>Shagger</t>
  </si>
  <si>
    <t>SMOG</t>
  </si>
  <si>
    <t>Stallion</t>
  </si>
  <si>
    <t>TheZipZipMan</t>
  </si>
  <si>
    <t>Timbo</t>
  </si>
  <si>
    <t>Toothpick13</t>
  </si>
  <si>
    <t>Wiley C</t>
  </si>
  <si>
    <t>Yackas</t>
  </si>
  <si>
    <t>iTerry</t>
  </si>
  <si>
    <t>Pepi</t>
  </si>
  <si>
    <t>Big Papi Productions</t>
  </si>
  <si>
    <t>sharkies.fan</t>
  </si>
  <si>
    <t>Runner</t>
  </si>
  <si>
    <t>StuartS</t>
  </si>
  <si>
    <t>Kayem</t>
  </si>
  <si>
    <t>T-Bone</t>
  </si>
  <si>
    <t>ravikarthig</t>
  </si>
  <si>
    <t>Rab_i</t>
  </si>
  <si>
    <t>Caline</t>
  </si>
  <si>
    <t>Nadeem</t>
  </si>
  <si>
    <t>CricketIsBetter</t>
  </si>
  <si>
    <t>Last_Minute_Entry</t>
  </si>
  <si>
    <t>Splinter</t>
  </si>
  <si>
    <t>Chunka</t>
  </si>
  <si>
    <t>jonnyc23</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</si>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</sst>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31" fillId="0" borderId="0" xfId="0" applyFont="1" applyFill="1" applyBorder="1" applyAlignment="1">
      <alignment horizontal="center"/>
    </xf>
    <xf numFmtId="0" fontId="0" fillId="0" borderId="0" xfId="0"/>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26" fillId="0" borderId="0" xfId="0" applyFont="1" applyFill="1"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59</c:v>
                </c:pt>
              </c:numCache>
            </c:numRef>
          </c:val>
          <c:extLst>
            <c:ext xmlns:c16="http://schemas.microsoft.com/office/drawing/2014/chart" uri="{C3380CC4-5D6E-409C-BE32-E72D297353CC}">
              <c16:uniqueId val="{00000000-1469-4871-9CB3-2BBDCC69032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12</c:v>
                </c:pt>
              </c:numCache>
            </c:numRef>
          </c:val>
          <c:extLst>
            <c:ext xmlns:c16="http://schemas.microsoft.com/office/drawing/2014/chart" uri="{C3380CC4-5D6E-409C-BE32-E72D297353CC}">
              <c16:uniqueId val="{00000001-1469-4871-9CB3-2BBDCC690321}"/>
            </c:ext>
          </c:extLst>
        </c:ser>
        <c:dLbls>
          <c:showLegendKey val="0"/>
          <c:showVal val="0"/>
          <c:showCatName val="0"/>
          <c:showSerName val="0"/>
          <c:showPercent val="0"/>
          <c:showBubbleSize val="0"/>
        </c:dLbls>
        <c:gapWidth val="0"/>
        <c:overlap val="-50"/>
        <c:axId val="193810432"/>
        <c:axId val="193811968"/>
      </c:barChart>
      <c:catAx>
        <c:axId val="193810432"/>
        <c:scaling>
          <c:orientation val="minMax"/>
        </c:scaling>
        <c:delete val="1"/>
        <c:axPos val="l"/>
        <c:majorTickMark val="out"/>
        <c:minorTickMark val="none"/>
        <c:tickLblPos val="nextTo"/>
        <c:crossAx val="193811968"/>
        <c:crosses val="autoZero"/>
        <c:auto val="1"/>
        <c:lblAlgn val="ctr"/>
        <c:lblOffset val="100"/>
        <c:noMultiLvlLbl val="0"/>
      </c:catAx>
      <c:valAx>
        <c:axId val="1938119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3810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5026-4562-9A61-D5FA5581B82A}"/>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5026-4562-9A61-D5FA5581B82A}"/>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5026-4562-9A61-D5FA5581B82A}"/>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5026-4562-9A61-D5FA5581B82A}"/>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5026-4562-9A61-D5FA5581B82A}"/>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5026-4562-9A61-D5FA5581B82A}"/>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5026-4562-9A61-D5FA5581B82A}"/>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5026-4562-9A61-D5FA5581B82A}"/>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5026-4562-9A61-D5FA5581B82A}"/>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5026-4562-9A61-D5FA5581B82A}"/>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5026-4562-9A61-D5FA5581B82A}"/>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10</c:v>
                </c:pt>
              </c:numCache>
            </c:numRef>
          </c:val>
          <c:extLst>
            <c:ext xmlns:c16="http://schemas.microsoft.com/office/drawing/2014/chart" uri="{C3380CC4-5D6E-409C-BE32-E72D297353CC}">
              <c16:uniqueId val="{0000000B-5026-4562-9A61-D5FA5581B82A}"/>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5026-4562-9A61-D5FA5581B82A}"/>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5026-4562-9A61-D5FA5581B82A}"/>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60</c:v>
                </c:pt>
              </c:numCache>
            </c:numRef>
          </c:val>
          <c:extLst>
            <c:ext xmlns:c16="http://schemas.microsoft.com/office/drawing/2014/chart" uri="{C3380CC4-5D6E-409C-BE32-E72D297353CC}">
              <c16:uniqueId val="{0000000E-5026-4562-9A61-D5FA5581B82A}"/>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61</c:v>
                </c:pt>
              </c:numCache>
            </c:numRef>
          </c:val>
          <c:extLst>
            <c:ext xmlns:c16="http://schemas.microsoft.com/office/drawing/2014/chart" uri="{C3380CC4-5D6E-409C-BE32-E72D297353CC}">
              <c16:uniqueId val="{0000000F-5026-4562-9A61-D5FA5581B82A}"/>
            </c:ext>
          </c:extLst>
        </c:ser>
        <c:dLbls>
          <c:showLegendKey val="0"/>
          <c:showVal val="0"/>
          <c:showCatName val="0"/>
          <c:showSerName val="0"/>
          <c:showPercent val="0"/>
          <c:showBubbleSize val="0"/>
        </c:dLbls>
        <c:gapWidth val="0"/>
        <c:axId val="273552128"/>
        <c:axId val="273553664"/>
      </c:barChart>
      <c:catAx>
        <c:axId val="273552128"/>
        <c:scaling>
          <c:orientation val="minMax"/>
        </c:scaling>
        <c:delete val="1"/>
        <c:axPos val="l"/>
        <c:majorTickMark val="out"/>
        <c:minorTickMark val="none"/>
        <c:tickLblPos val="nextTo"/>
        <c:crossAx val="273553664"/>
        <c:crosses val="autoZero"/>
        <c:auto val="1"/>
        <c:lblAlgn val="ctr"/>
        <c:lblOffset val="100"/>
        <c:noMultiLvlLbl val="0"/>
      </c:catAx>
      <c:valAx>
        <c:axId val="27355366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735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37</c:v>
                </c:pt>
              </c:numCache>
            </c:numRef>
          </c:val>
          <c:extLst>
            <c:ext xmlns:c16="http://schemas.microsoft.com/office/drawing/2014/chart" uri="{C3380CC4-5D6E-409C-BE32-E72D297353CC}">
              <c16:uniqueId val="{00000000-978F-451B-A002-584295A29DB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34</c:v>
                </c:pt>
              </c:numCache>
            </c:numRef>
          </c:val>
          <c:extLst>
            <c:ext xmlns:c16="http://schemas.microsoft.com/office/drawing/2014/chart" uri="{C3380CC4-5D6E-409C-BE32-E72D297353CC}">
              <c16:uniqueId val="{00000001-978F-451B-A002-584295A29DBD}"/>
            </c:ext>
          </c:extLst>
        </c:ser>
        <c:dLbls>
          <c:showLegendKey val="0"/>
          <c:showVal val="0"/>
          <c:showCatName val="0"/>
          <c:showSerName val="0"/>
          <c:showPercent val="0"/>
          <c:showBubbleSize val="0"/>
        </c:dLbls>
        <c:gapWidth val="0"/>
        <c:overlap val="-50"/>
        <c:axId val="202388224"/>
        <c:axId val="202407936"/>
      </c:barChart>
      <c:catAx>
        <c:axId val="202388224"/>
        <c:scaling>
          <c:orientation val="minMax"/>
        </c:scaling>
        <c:delete val="1"/>
        <c:axPos val="l"/>
        <c:majorTickMark val="out"/>
        <c:minorTickMark val="none"/>
        <c:tickLblPos val="nextTo"/>
        <c:crossAx val="202407936"/>
        <c:crosses val="autoZero"/>
        <c:auto val="1"/>
        <c:lblAlgn val="ctr"/>
        <c:lblOffset val="100"/>
        <c:noMultiLvlLbl val="0"/>
      </c:catAx>
      <c:valAx>
        <c:axId val="202407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023882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10</c:v>
                </c:pt>
              </c:numCache>
            </c:numRef>
          </c:val>
          <c:extLst>
            <c:ext xmlns:c16="http://schemas.microsoft.com/office/drawing/2014/chart" uri="{C3380CC4-5D6E-409C-BE32-E72D297353CC}">
              <c16:uniqueId val="{00000000-8636-4B17-A6BF-BCC09022E46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61</c:v>
                </c:pt>
              </c:numCache>
            </c:numRef>
          </c:val>
          <c:extLst>
            <c:ext xmlns:c16="http://schemas.microsoft.com/office/drawing/2014/chart" uri="{C3380CC4-5D6E-409C-BE32-E72D297353CC}">
              <c16:uniqueId val="{00000001-8636-4B17-A6BF-BCC09022E469}"/>
            </c:ext>
          </c:extLst>
        </c:ser>
        <c:dLbls>
          <c:showLegendKey val="0"/>
          <c:showVal val="0"/>
          <c:showCatName val="0"/>
          <c:showSerName val="0"/>
          <c:showPercent val="0"/>
          <c:showBubbleSize val="0"/>
        </c:dLbls>
        <c:gapWidth val="0"/>
        <c:overlap val="-50"/>
        <c:axId val="239993216"/>
        <c:axId val="239994752"/>
      </c:barChart>
      <c:catAx>
        <c:axId val="239993216"/>
        <c:scaling>
          <c:orientation val="minMax"/>
        </c:scaling>
        <c:delete val="1"/>
        <c:axPos val="l"/>
        <c:majorTickMark val="out"/>
        <c:minorTickMark val="none"/>
        <c:tickLblPos val="nextTo"/>
        <c:crossAx val="239994752"/>
        <c:crosses val="autoZero"/>
        <c:auto val="1"/>
        <c:lblAlgn val="ctr"/>
        <c:lblOffset val="100"/>
        <c:noMultiLvlLbl val="0"/>
      </c:catAx>
      <c:valAx>
        <c:axId val="2399947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3999321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14</c:v>
                </c:pt>
              </c:numCache>
            </c:numRef>
          </c:val>
          <c:extLst>
            <c:ext xmlns:c16="http://schemas.microsoft.com/office/drawing/2014/chart" uri="{C3380CC4-5D6E-409C-BE32-E72D297353CC}">
              <c16:uniqueId val="{00000000-789D-470D-BD51-66BBFC05AA5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57</c:v>
                </c:pt>
              </c:numCache>
            </c:numRef>
          </c:val>
          <c:extLst>
            <c:ext xmlns:c16="http://schemas.microsoft.com/office/drawing/2014/chart" uri="{C3380CC4-5D6E-409C-BE32-E72D297353CC}">
              <c16:uniqueId val="{00000001-789D-470D-BD51-66BBFC05AA5A}"/>
            </c:ext>
          </c:extLst>
        </c:ser>
        <c:dLbls>
          <c:showLegendKey val="0"/>
          <c:showVal val="0"/>
          <c:showCatName val="0"/>
          <c:showSerName val="0"/>
          <c:showPercent val="0"/>
          <c:showBubbleSize val="0"/>
        </c:dLbls>
        <c:gapWidth val="0"/>
        <c:overlap val="-50"/>
        <c:axId val="240048000"/>
        <c:axId val="258019712"/>
      </c:barChart>
      <c:catAx>
        <c:axId val="240048000"/>
        <c:scaling>
          <c:orientation val="minMax"/>
        </c:scaling>
        <c:delete val="1"/>
        <c:axPos val="l"/>
        <c:majorTickMark val="out"/>
        <c:minorTickMark val="none"/>
        <c:tickLblPos val="nextTo"/>
        <c:crossAx val="258019712"/>
        <c:crosses val="autoZero"/>
        <c:auto val="1"/>
        <c:lblAlgn val="ctr"/>
        <c:lblOffset val="100"/>
        <c:noMultiLvlLbl val="0"/>
      </c:catAx>
      <c:valAx>
        <c:axId val="258019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4004800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0</c:v>
                </c:pt>
              </c:numCache>
            </c:numRef>
          </c:val>
          <c:extLst>
            <c:ext xmlns:c16="http://schemas.microsoft.com/office/drawing/2014/chart" uri="{C3380CC4-5D6E-409C-BE32-E72D297353CC}">
              <c16:uniqueId val="{00000000-CC6B-4B6F-9AC1-B6064002E79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71</c:v>
                </c:pt>
              </c:numCache>
            </c:numRef>
          </c:val>
          <c:extLst>
            <c:ext xmlns:c16="http://schemas.microsoft.com/office/drawing/2014/chart" uri="{C3380CC4-5D6E-409C-BE32-E72D297353CC}">
              <c16:uniqueId val="{00000001-CC6B-4B6F-9AC1-B6064002E796}"/>
            </c:ext>
          </c:extLst>
        </c:ser>
        <c:dLbls>
          <c:showLegendKey val="0"/>
          <c:showVal val="0"/>
          <c:showCatName val="0"/>
          <c:showSerName val="0"/>
          <c:showPercent val="0"/>
          <c:showBubbleSize val="0"/>
        </c:dLbls>
        <c:gapWidth val="0"/>
        <c:overlap val="-50"/>
        <c:axId val="277942272"/>
        <c:axId val="277945728"/>
      </c:barChart>
      <c:catAx>
        <c:axId val="277942272"/>
        <c:scaling>
          <c:orientation val="minMax"/>
        </c:scaling>
        <c:delete val="1"/>
        <c:axPos val="l"/>
        <c:majorTickMark val="out"/>
        <c:minorTickMark val="none"/>
        <c:tickLblPos val="nextTo"/>
        <c:crossAx val="277945728"/>
        <c:crosses val="autoZero"/>
        <c:auto val="1"/>
        <c:lblAlgn val="ctr"/>
        <c:lblOffset val="100"/>
        <c:noMultiLvlLbl val="0"/>
      </c:catAx>
      <c:valAx>
        <c:axId val="2779457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79422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c:v>
                </c:pt>
              </c:numCache>
            </c:numRef>
          </c:val>
          <c:extLst>
            <c:ext xmlns:c16="http://schemas.microsoft.com/office/drawing/2014/chart" uri="{C3380CC4-5D6E-409C-BE32-E72D297353CC}">
              <c16:uniqueId val="{00000000-97AB-4FC2-BFC6-F39BA5B72D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66</c:v>
                </c:pt>
              </c:numCache>
            </c:numRef>
          </c:val>
          <c:extLst>
            <c:ext xmlns:c16="http://schemas.microsoft.com/office/drawing/2014/chart" uri="{C3380CC4-5D6E-409C-BE32-E72D297353CC}">
              <c16:uniqueId val="{00000001-97AB-4FC2-BFC6-F39BA5B72D0A}"/>
            </c:ext>
          </c:extLst>
        </c:ser>
        <c:dLbls>
          <c:showLegendKey val="0"/>
          <c:showVal val="0"/>
          <c:showCatName val="0"/>
          <c:showSerName val="0"/>
          <c:showPercent val="0"/>
          <c:showBubbleSize val="0"/>
        </c:dLbls>
        <c:gapWidth val="0"/>
        <c:overlap val="-50"/>
        <c:axId val="339298560"/>
        <c:axId val="382751872"/>
      </c:barChart>
      <c:catAx>
        <c:axId val="339298560"/>
        <c:scaling>
          <c:orientation val="minMax"/>
        </c:scaling>
        <c:delete val="1"/>
        <c:axPos val="l"/>
        <c:majorTickMark val="out"/>
        <c:minorTickMark val="none"/>
        <c:tickLblPos val="nextTo"/>
        <c:crossAx val="382751872"/>
        <c:crosses val="autoZero"/>
        <c:auto val="1"/>
        <c:lblAlgn val="ctr"/>
        <c:lblOffset val="100"/>
        <c:noMultiLvlLbl val="0"/>
      </c:catAx>
      <c:valAx>
        <c:axId val="3827518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392985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7</c:v>
                </c:pt>
              </c:numCache>
            </c:numRef>
          </c:val>
          <c:extLst>
            <c:ext xmlns:c16="http://schemas.microsoft.com/office/drawing/2014/chart" uri="{C3380CC4-5D6E-409C-BE32-E72D297353CC}">
              <c16:uniqueId val="{00000000-3A46-4FE4-B4BD-DC86E47870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64</c:v>
                </c:pt>
              </c:numCache>
            </c:numRef>
          </c:val>
          <c:extLst>
            <c:ext xmlns:c16="http://schemas.microsoft.com/office/drawing/2014/chart" uri="{C3380CC4-5D6E-409C-BE32-E72D297353CC}">
              <c16:uniqueId val="{00000001-3A46-4FE4-B4BD-DC86E478700A}"/>
            </c:ext>
          </c:extLst>
        </c:ser>
        <c:dLbls>
          <c:showLegendKey val="0"/>
          <c:showVal val="0"/>
          <c:showCatName val="0"/>
          <c:showSerName val="0"/>
          <c:showPercent val="0"/>
          <c:showBubbleSize val="0"/>
        </c:dLbls>
        <c:gapWidth val="0"/>
        <c:overlap val="-50"/>
        <c:axId val="415465472"/>
        <c:axId val="415467008"/>
      </c:barChart>
      <c:catAx>
        <c:axId val="415465472"/>
        <c:scaling>
          <c:orientation val="minMax"/>
        </c:scaling>
        <c:delete val="1"/>
        <c:axPos val="l"/>
        <c:majorTickMark val="out"/>
        <c:minorTickMark val="none"/>
        <c:tickLblPos val="nextTo"/>
        <c:crossAx val="415467008"/>
        <c:crosses val="autoZero"/>
        <c:auto val="1"/>
        <c:lblAlgn val="ctr"/>
        <c:lblOffset val="100"/>
        <c:noMultiLvlLbl val="0"/>
      </c:catAx>
      <c:valAx>
        <c:axId val="41546700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154654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61</c:v>
                </c:pt>
              </c:numCache>
            </c:numRef>
          </c:val>
          <c:extLst>
            <c:ext xmlns:c16="http://schemas.microsoft.com/office/drawing/2014/chart" uri="{C3380CC4-5D6E-409C-BE32-E72D297353CC}">
              <c16:uniqueId val="{00000000-532F-4C71-986E-60A55C21E3A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32F-4C71-986E-60A55C21E3AA}"/>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10</c:v>
                </c:pt>
              </c:numCache>
            </c:numRef>
          </c:val>
          <c:extLst>
            <c:ext xmlns:c16="http://schemas.microsoft.com/office/drawing/2014/chart" uri="{C3380CC4-5D6E-409C-BE32-E72D297353CC}">
              <c16:uniqueId val="{00000002-532F-4C71-986E-60A55C21E3AA}"/>
            </c:ext>
          </c:extLst>
        </c:ser>
        <c:dLbls>
          <c:showLegendKey val="0"/>
          <c:showVal val="0"/>
          <c:showCatName val="0"/>
          <c:showSerName val="0"/>
          <c:showPercent val="0"/>
          <c:showBubbleSize val="0"/>
        </c:dLbls>
        <c:gapWidth val="0"/>
        <c:overlap val="-50"/>
        <c:axId val="452842240"/>
        <c:axId val="459863936"/>
      </c:barChart>
      <c:catAx>
        <c:axId val="452842240"/>
        <c:scaling>
          <c:orientation val="minMax"/>
        </c:scaling>
        <c:delete val="1"/>
        <c:axPos val="l"/>
        <c:majorTickMark val="out"/>
        <c:minorTickMark val="none"/>
        <c:tickLblPos val="nextTo"/>
        <c:crossAx val="459863936"/>
        <c:crosses val="autoZero"/>
        <c:auto val="1"/>
        <c:lblAlgn val="ctr"/>
        <c:lblOffset val="100"/>
        <c:noMultiLvlLbl val="0"/>
      </c:catAx>
      <c:valAx>
        <c:axId val="459863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528422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70</c:v>
                </c:pt>
              </c:numCache>
            </c:numRef>
          </c:val>
          <c:extLst>
            <c:ext xmlns:c16="http://schemas.microsoft.com/office/drawing/2014/chart" uri="{C3380CC4-5D6E-409C-BE32-E72D297353CC}">
              <c16:uniqueId val="{00000000-1DE0-4CCF-8D17-FE3E9FD0B88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71</c:v>
                </c:pt>
              </c:numCache>
            </c:numRef>
          </c:val>
          <c:extLst>
            <c:ext xmlns:c16="http://schemas.microsoft.com/office/drawing/2014/chart" uri="{C3380CC4-5D6E-409C-BE32-E72D297353CC}">
              <c16:uniqueId val="{00000001-1DE0-4CCF-8D17-FE3E9FD0B88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83</c:v>
                </c:pt>
              </c:numCache>
            </c:numRef>
          </c:val>
          <c:extLst>
            <c:ext xmlns:c16="http://schemas.microsoft.com/office/drawing/2014/chart" uri="{C3380CC4-5D6E-409C-BE32-E72D297353CC}">
              <c16:uniqueId val="{00000002-1DE0-4CCF-8D17-FE3E9FD0B887}"/>
            </c:ext>
          </c:extLst>
        </c:ser>
        <c:dLbls>
          <c:showLegendKey val="0"/>
          <c:showVal val="0"/>
          <c:showCatName val="0"/>
          <c:showSerName val="0"/>
          <c:showPercent val="0"/>
          <c:showBubbleSize val="0"/>
        </c:dLbls>
        <c:gapWidth val="0"/>
        <c:axId val="216181760"/>
        <c:axId val="270037760"/>
      </c:barChart>
      <c:catAx>
        <c:axId val="216181760"/>
        <c:scaling>
          <c:orientation val="minMax"/>
        </c:scaling>
        <c:delete val="1"/>
        <c:axPos val="l"/>
        <c:majorTickMark val="out"/>
        <c:minorTickMark val="none"/>
        <c:tickLblPos val="nextTo"/>
        <c:crossAx val="270037760"/>
        <c:crosses val="autoZero"/>
        <c:auto val="1"/>
        <c:lblAlgn val="ctr"/>
        <c:lblOffset val="100"/>
        <c:noMultiLvlLbl val="0"/>
      </c:catAx>
      <c:valAx>
        <c:axId val="270037760"/>
        <c:scaling>
          <c:orientation val="minMax"/>
          <c:max val="250"/>
          <c:min val="0"/>
        </c:scaling>
        <c:delete val="1"/>
        <c:axPos val="b"/>
        <c:numFmt formatCode="General" sourceLinked="1"/>
        <c:majorTickMark val="out"/>
        <c:minorTickMark val="none"/>
        <c:tickLblPos val="nextTo"/>
        <c:crossAx val="216181760"/>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53"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2.png"/><Relationship Id="rId3" Type="http://schemas.openxmlformats.org/officeDocument/2006/relationships/image" Target="../media/image16.png"/><Relationship Id="rId7" Type="http://schemas.openxmlformats.org/officeDocument/2006/relationships/image" Target="../media/image14.png"/><Relationship Id="rId12" Type="http://schemas.openxmlformats.org/officeDocument/2006/relationships/image" Target="../media/image9.png"/><Relationship Id="rId2" Type="http://schemas.openxmlformats.org/officeDocument/2006/relationships/image" Target="../media/image10.png"/><Relationship Id="rId16" Type="http://schemas.openxmlformats.org/officeDocument/2006/relationships/image" Target="../media/image13.png"/><Relationship Id="rId1" Type="http://schemas.openxmlformats.org/officeDocument/2006/relationships/image" Target="../media/image8.png"/><Relationship Id="rId6" Type="http://schemas.openxmlformats.org/officeDocument/2006/relationships/image" Target="../media/image7.png"/><Relationship Id="rId11" Type="http://schemas.openxmlformats.org/officeDocument/2006/relationships/image" Target="../media/image15.png"/><Relationship Id="rId5" Type="http://schemas.openxmlformats.org/officeDocument/2006/relationships/image" Target="../media/image18.png"/><Relationship Id="rId15" Type="http://schemas.openxmlformats.org/officeDocument/2006/relationships/image" Target="../media/image6.png"/><Relationship Id="rId10" Type="http://schemas.openxmlformats.org/officeDocument/2006/relationships/image" Target="../media/image17.png"/><Relationship Id="rId4" Type="http://schemas.openxmlformats.org/officeDocument/2006/relationships/image" Target="../media/image3.png"/><Relationship Id="rId9" Type="http://schemas.openxmlformats.org/officeDocument/2006/relationships/image" Target="../media/image5.png"/><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141111</xdr:colOff>
      <xdr:row>1</xdr:row>
      <xdr:rowOff>112889</xdr:rowOff>
    </xdr:from>
    <xdr:to>
      <xdr:col>4</xdr:col>
      <xdr:colOff>745066</xdr:colOff>
      <xdr:row>1</xdr:row>
      <xdr:rowOff>868539</xdr:rowOff>
    </xdr:to>
    <xdr:grpSp>
      <xdr:nvGrpSpPr>
        <xdr:cNvPr id="20" name="Group 22">
          <a:extLst>
            <a:ext uri="{FF2B5EF4-FFF2-40B4-BE49-F238E27FC236}">
              <a16:creationId xmlns:a16="http://schemas.microsoft.com/office/drawing/2014/main" id="{00000000-0008-0000-0000-000014000000}"/>
            </a:ext>
          </a:extLst>
        </xdr:cNvPr>
        <xdr:cNvGrpSpPr>
          <a:grpSpLocks/>
        </xdr:cNvGrpSpPr>
      </xdr:nvGrpSpPr>
      <xdr:grpSpPr bwMode="auto">
        <a:xfrm>
          <a:off x="198261" y="170039"/>
          <a:ext cx="2518480" cy="755650"/>
          <a:chOff x="0" y="0"/>
          <a:chExt cx="2562315" cy="755650"/>
        </a:xfrm>
      </xdr:grpSpPr>
      <xdr:grpSp>
        <xdr:nvGrpSpPr>
          <xdr:cNvPr id="21" name="Group 16">
            <a:extLst>
              <a:ext uri="{FF2B5EF4-FFF2-40B4-BE49-F238E27FC236}">
                <a16:creationId xmlns:a16="http://schemas.microsoft.com/office/drawing/2014/main" id="{00000000-0008-0000-0000-000015000000}"/>
              </a:ext>
            </a:extLst>
          </xdr:cNvPr>
          <xdr:cNvGrpSpPr>
            <a:grpSpLocks/>
          </xdr:cNvGrpSpPr>
        </xdr:nvGrpSpPr>
        <xdr:grpSpPr bwMode="auto">
          <a:xfrm>
            <a:off x="0" y="0"/>
            <a:ext cx="2562315" cy="755650"/>
            <a:chOff x="4540250" y="927100"/>
            <a:chExt cx="2562316" cy="755970"/>
          </a:xfrm>
        </xdr:grpSpPr>
        <xdr:pic>
          <xdr:nvPicPr>
            <xdr:cNvPr id="23" name="Picture 1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Picture 19">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TextBox 21">
            <a:extLst>
              <a:ext uri="{FF2B5EF4-FFF2-40B4-BE49-F238E27FC236}">
                <a16:creationId xmlns:a16="http://schemas.microsoft.com/office/drawing/2014/main" id="{00000000-0008-0000-0000-000016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twoCellAnchor>
    <xdr:from>
      <xdr:col>7</xdr:col>
      <xdr:colOff>101600</xdr:colOff>
      <xdr:row>4</xdr:row>
      <xdr:rowOff>25400</xdr:rowOff>
    </xdr:from>
    <xdr:to>
      <xdr:col>7</xdr:col>
      <xdr:colOff>539750</xdr:colOff>
      <xdr:row>6</xdr:row>
      <xdr:rowOff>146050</xdr:rowOff>
    </xdr:to>
    <xdr:pic>
      <xdr:nvPicPr>
        <xdr:cNvPr id="18" name="Picture 92">
          <a:extLst>
            <a:ext uri="{FF2B5EF4-FFF2-40B4-BE49-F238E27FC236}">
              <a16:creationId xmlns:a16="http://schemas.microsoft.com/office/drawing/2014/main" id="{4422689F-7E3F-4488-AC2A-B7DE1C4634B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12700</xdr:rowOff>
    </xdr:from>
    <xdr:to>
      <xdr:col>7</xdr:col>
      <xdr:colOff>546100</xdr:colOff>
      <xdr:row>9</xdr:row>
      <xdr:rowOff>146050</xdr:rowOff>
    </xdr:to>
    <xdr:pic>
      <xdr:nvPicPr>
        <xdr:cNvPr id="19" name="Picture 98">
          <a:extLst>
            <a:ext uri="{FF2B5EF4-FFF2-40B4-BE49-F238E27FC236}">
              <a16:creationId xmlns:a16="http://schemas.microsoft.com/office/drawing/2014/main" id="{FD0DE447-3BEC-44EF-932D-AF1BF40CDA13}"/>
            </a:ext>
          </a:extLst>
        </xdr:cNvPr>
        <xdr:cNvPicPr preferRelativeResize="0">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13</xdr:row>
      <xdr:rowOff>31750</xdr:rowOff>
    </xdr:from>
    <xdr:to>
      <xdr:col>7</xdr:col>
      <xdr:colOff>539750</xdr:colOff>
      <xdr:row>15</xdr:row>
      <xdr:rowOff>139700</xdr:rowOff>
    </xdr:to>
    <xdr:pic>
      <xdr:nvPicPr>
        <xdr:cNvPr id="25" name="Picture 99">
          <a:extLst>
            <a:ext uri="{FF2B5EF4-FFF2-40B4-BE49-F238E27FC236}">
              <a16:creationId xmlns:a16="http://schemas.microsoft.com/office/drawing/2014/main" id="{5F3940D3-67BD-4292-8B69-AEBB0F3B092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16</xdr:row>
      <xdr:rowOff>31750</xdr:rowOff>
    </xdr:from>
    <xdr:to>
      <xdr:col>7</xdr:col>
      <xdr:colOff>533400</xdr:colOff>
      <xdr:row>18</xdr:row>
      <xdr:rowOff>139700</xdr:rowOff>
    </xdr:to>
    <xdr:pic>
      <xdr:nvPicPr>
        <xdr:cNvPr id="26" name="Picture 25">
          <a:extLst>
            <a:ext uri="{FF2B5EF4-FFF2-40B4-BE49-F238E27FC236}">
              <a16:creationId xmlns:a16="http://schemas.microsoft.com/office/drawing/2014/main" id="{06AC4EE3-DBE6-4BF7-A08E-D5035BDD173E}"/>
            </a:ext>
          </a:extLst>
        </xdr:cNvPr>
        <xdr:cNvPicPr>
          <a:picLocks noChangeAspect="1"/>
        </xdr:cNvPicPr>
      </xdr:nvPicPr>
      <xdr:blipFill>
        <a:blip xmlns:r="http://schemas.openxmlformats.org/officeDocument/2006/relationships" r:embed="rId16"/>
        <a:stretch>
          <a:fillRect/>
        </a:stretch>
      </xdr:blipFill>
      <xdr:spPr>
        <a:xfrm>
          <a:off x="709930" y="2531110"/>
          <a:ext cx="425450" cy="443230"/>
        </a:xfrm>
        <a:prstGeom prst="rect">
          <a:avLst/>
        </a:prstGeom>
      </xdr:spPr>
    </xdr:pic>
    <xdr:clientData/>
  </xdr:twoCellAnchor>
  <xdr:twoCellAnchor>
    <xdr:from>
      <xdr:col>7</xdr:col>
      <xdr:colOff>95250</xdr:colOff>
      <xdr:row>22</xdr:row>
      <xdr:rowOff>19050</xdr:rowOff>
    </xdr:from>
    <xdr:to>
      <xdr:col>7</xdr:col>
      <xdr:colOff>533400</xdr:colOff>
      <xdr:row>24</xdr:row>
      <xdr:rowOff>139700</xdr:rowOff>
    </xdr:to>
    <xdr:pic>
      <xdr:nvPicPr>
        <xdr:cNvPr id="27" name="Picture 96">
          <a:extLst>
            <a:ext uri="{FF2B5EF4-FFF2-40B4-BE49-F238E27FC236}">
              <a16:creationId xmlns:a16="http://schemas.microsoft.com/office/drawing/2014/main" id="{D80EC244-AB09-417E-A7DF-E8711991168E}"/>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25</xdr:row>
      <xdr:rowOff>25400</xdr:rowOff>
    </xdr:from>
    <xdr:to>
      <xdr:col>7</xdr:col>
      <xdr:colOff>577850</xdr:colOff>
      <xdr:row>27</xdr:row>
      <xdr:rowOff>139700</xdr:rowOff>
    </xdr:to>
    <xdr:pic>
      <xdr:nvPicPr>
        <xdr:cNvPr id="28" name="Picture 89">
          <a:extLst>
            <a:ext uri="{FF2B5EF4-FFF2-40B4-BE49-F238E27FC236}">
              <a16:creationId xmlns:a16="http://schemas.microsoft.com/office/drawing/2014/main" id="{F8A64F4B-CBE9-4C67-9CEC-72382B6F9183}"/>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31</xdr:row>
      <xdr:rowOff>19050</xdr:rowOff>
    </xdr:from>
    <xdr:to>
      <xdr:col>7</xdr:col>
      <xdr:colOff>558800</xdr:colOff>
      <xdr:row>33</xdr:row>
      <xdr:rowOff>146050</xdr:rowOff>
    </xdr:to>
    <xdr:pic>
      <xdr:nvPicPr>
        <xdr:cNvPr id="29" name="Picture 39">
          <a:extLst>
            <a:ext uri="{FF2B5EF4-FFF2-40B4-BE49-F238E27FC236}">
              <a16:creationId xmlns:a16="http://schemas.microsoft.com/office/drawing/2014/main" id="{017B1632-2519-4C2F-AA5C-74AFFC3B345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539750</xdr:colOff>
      <xdr:row>36</xdr:row>
      <xdr:rowOff>146050</xdr:rowOff>
    </xdr:to>
    <xdr:pic>
      <xdr:nvPicPr>
        <xdr:cNvPr id="30" name="Picture 90">
          <a:extLst>
            <a:ext uri="{FF2B5EF4-FFF2-40B4-BE49-F238E27FC236}">
              <a16:creationId xmlns:a16="http://schemas.microsoft.com/office/drawing/2014/main" id="{356C9F57-8D83-4BE8-A863-49FBE94FB889}"/>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546100</xdr:colOff>
      <xdr:row>6</xdr:row>
      <xdr:rowOff>152400</xdr:rowOff>
    </xdr:to>
    <xdr:pic>
      <xdr:nvPicPr>
        <xdr:cNvPr id="31" name="Picture 30">
          <a:extLst>
            <a:ext uri="{FF2B5EF4-FFF2-40B4-BE49-F238E27FC236}">
              <a16:creationId xmlns:a16="http://schemas.microsoft.com/office/drawing/2014/main" id="{B5C6B3EF-3D20-4311-BAE4-222444C66738}"/>
            </a:ext>
          </a:extLst>
        </xdr:cNvPr>
        <xdr:cNvPicPr>
          <a:picLocks noChangeAspect="1"/>
        </xdr:cNvPicPr>
      </xdr:nvPicPr>
      <xdr:blipFill>
        <a:blip xmlns:r="http://schemas.openxmlformats.org/officeDocument/2006/relationships" r:embed="rId21"/>
        <a:stretch>
          <a:fillRect/>
        </a:stretch>
      </xdr:blipFill>
      <xdr:spPr>
        <a:xfrm>
          <a:off x="95250" y="2518410"/>
          <a:ext cx="450850" cy="468630"/>
        </a:xfrm>
        <a:prstGeom prst="rect">
          <a:avLst/>
        </a:prstGeom>
      </xdr:spPr>
    </xdr:pic>
    <xdr:clientData/>
  </xdr:twoCellAnchor>
  <xdr:twoCellAnchor>
    <xdr:from>
      <xdr:col>13</xdr:col>
      <xdr:colOff>63500</xdr:colOff>
      <xdr:row>7</xdr:row>
      <xdr:rowOff>19050</xdr:rowOff>
    </xdr:from>
    <xdr:to>
      <xdr:col>13</xdr:col>
      <xdr:colOff>552475</xdr:colOff>
      <xdr:row>9</xdr:row>
      <xdr:rowOff>139725</xdr:rowOff>
    </xdr:to>
    <xdr:pic>
      <xdr:nvPicPr>
        <xdr:cNvPr id="32" name="Picture 31">
          <a:extLst>
            <a:ext uri="{FF2B5EF4-FFF2-40B4-BE49-F238E27FC236}">
              <a16:creationId xmlns:a16="http://schemas.microsoft.com/office/drawing/2014/main" id="{1BCA87E9-EF77-472E-B4EA-40BF9AE330E3}"/>
            </a:ext>
          </a:extLst>
        </xdr:cNvPr>
        <xdr:cNvPicPr>
          <a:picLocks noChangeAspect="1"/>
        </xdr:cNvPicPr>
      </xdr:nvPicPr>
      <xdr:blipFill>
        <a:blip xmlns:r="http://schemas.openxmlformats.org/officeDocument/2006/relationships" r:embed="rId22"/>
        <a:stretch>
          <a:fillRect/>
        </a:stretch>
      </xdr:blipFill>
      <xdr:spPr>
        <a:xfrm>
          <a:off x="665480" y="3021330"/>
          <a:ext cx="488975" cy="455955"/>
        </a:xfrm>
        <a:prstGeom prst="rect">
          <a:avLst/>
        </a:prstGeom>
      </xdr:spPr>
    </xdr:pic>
    <xdr:clientData/>
  </xdr:twoCellAnchor>
  <xdr:twoCellAnchor>
    <xdr:from>
      <xdr:col>13</xdr:col>
      <xdr:colOff>69851</xdr:colOff>
      <xdr:row>12</xdr:row>
      <xdr:rowOff>152401</xdr:rowOff>
    </xdr:from>
    <xdr:to>
      <xdr:col>13</xdr:col>
      <xdr:colOff>546101</xdr:colOff>
      <xdr:row>15</xdr:row>
      <xdr:rowOff>152401</xdr:rowOff>
    </xdr:to>
    <xdr:pic>
      <xdr:nvPicPr>
        <xdr:cNvPr id="33" name="Picture 32">
          <a:extLst>
            <a:ext uri="{FF2B5EF4-FFF2-40B4-BE49-F238E27FC236}">
              <a16:creationId xmlns:a16="http://schemas.microsoft.com/office/drawing/2014/main" id="{3BB92B94-5DF9-4433-B82F-DC77433653B7}"/>
            </a:ext>
          </a:extLst>
        </xdr:cNvPr>
        <xdr:cNvPicPr>
          <a:picLocks noChangeAspect="1"/>
        </xdr:cNvPicPr>
      </xdr:nvPicPr>
      <xdr:blipFill>
        <a:blip xmlns:r="http://schemas.openxmlformats.org/officeDocument/2006/relationships" r:embed="rId23"/>
        <a:stretch>
          <a:fillRect/>
        </a:stretch>
      </xdr:blipFill>
      <xdr:spPr>
        <a:xfrm>
          <a:off x="69851" y="2987041"/>
          <a:ext cx="476250" cy="502920"/>
        </a:xfrm>
        <a:prstGeom prst="rect">
          <a:avLst/>
        </a:prstGeom>
      </xdr:spPr>
    </xdr:pic>
    <xdr:clientData/>
  </xdr:twoCellAnchor>
  <xdr:twoCellAnchor>
    <xdr:from>
      <xdr:col>13</xdr:col>
      <xdr:colOff>63500</xdr:colOff>
      <xdr:row>16</xdr:row>
      <xdr:rowOff>25400</xdr:rowOff>
    </xdr:from>
    <xdr:to>
      <xdr:col>13</xdr:col>
      <xdr:colOff>558800</xdr:colOff>
      <xdr:row>18</xdr:row>
      <xdr:rowOff>139700</xdr:rowOff>
    </xdr:to>
    <xdr:pic>
      <xdr:nvPicPr>
        <xdr:cNvPr id="34" name="Picture 97">
          <a:extLst>
            <a:ext uri="{FF2B5EF4-FFF2-40B4-BE49-F238E27FC236}">
              <a16:creationId xmlns:a16="http://schemas.microsoft.com/office/drawing/2014/main" id="{CEB0C6BB-F891-407B-8DB5-6790797B5A5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76200</xdr:colOff>
      <xdr:row>22</xdr:row>
      <xdr:rowOff>19050</xdr:rowOff>
    </xdr:from>
    <xdr:to>
      <xdr:col>13</xdr:col>
      <xdr:colOff>533400</xdr:colOff>
      <xdr:row>25</xdr:row>
      <xdr:rowOff>0</xdr:rowOff>
    </xdr:to>
    <xdr:pic>
      <xdr:nvPicPr>
        <xdr:cNvPr id="35" name="Picture 102">
          <a:extLst>
            <a:ext uri="{FF2B5EF4-FFF2-40B4-BE49-F238E27FC236}">
              <a16:creationId xmlns:a16="http://schemas.microsoft.com/office/drawing/2014/main" id="{73417EC5-47D5-49D8-9274-DF08C1B50B03}"/>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25400</xdr:rowOff>
    </xdr:from>
    <xdr:to>
      <xdr:col>13</xdr:col>
      <xdr:colOff>539750</xdr:colOff>
      <xdr:row>27</xdr:row>
      <xdr:rowOff>139700</xdr:rowOff>
    </xdr:to>
    <xdr:pic>
      <xdr:nvPicPr>
        <xdr:cNvPr id="36" name="Picture 91">
          <a:extLst>
            <a:ext uri="{FF2B5EF4-FFF2-40B4-BE49-F238E27FC236}">
              <a16:creationId xmlns:a16="http://schemas.microsoft.com/office/drawing/2014/main" id="{ECA08CE6-1C04-4055-84C4-D764D5363127}"/>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31</xdr:row>
      <xdr:rowOff>19050</xdr:rowOff>
    </xdr:from>
    <xdr:to>
      <xdr:col>13</xdr:col>
      <xdr:colOff>539750</xdr:colOff>
      <xdr:row>33</xdr:row>
      <xdr:rowOff>146050</xdr:rowOff>
    </xdr:to>
    <xdr:pic>
      <xdr:nvPicPr>
        <xdr:cNvPr id="37" name="Picture 100">
          <a:extLst>
            <a:ext uri="{FF2B5EF4-FFF2-40B4-BE49-F238E27FC236}">
              <a16:creationId xmlns:a16="http://schemas.microsoft.com/office/drawing/2014/main" id="{74703D19-D0FF-46C9-8C35-427E1A9AFD37}"/>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38" name="Picture 93">
          <a:extLst>
            <a:ext uri="{FF2B5EF4-FFF2-40B4-BE49-F238E27FC236}">
              <a16:creationId xmlns:a16="http://schemas.microsoft.com/office/drawing/2014/main" id="{E6FC2A58-D4D4-4760-872B-C927B3E7CF32}"/>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139700</xdr:colOff>
      <xdr:row>0</xdr:row>
      <xdr:rowOff>88900</xdr:rowOff>
    </xdr:from>
    <xdr:to>
      <xdr:col>4</xdr:col>
      <xdr:colOff>349250</xdr:colOff>
      <xdr:row>0</xdr:row>
      <xdr:rowOff>844550</xdr:rowOff>
    </xdr:to>
    <xdr:grpSp>
      <xdr:nvGrpSpPr>
        <xdr:cNvPr id="11" name="Group 22">
          <a:extLst>
            <a:ext uri="{FF2B5EF4-FFF2-40B4-BE49-F238E27FC236}">
              <a16:creationId xmlns:a16="http://schemas.microsoft.com/office/drawing/2014/main" id="{00000000-0008-0000-0100-00000B000000}"/>
            </a:ext>
          </a:extLst>
        </xdr:cNvPr>
        <xdr:cNvGrpSpPr>
          <a:grpSpLocks/>
        </xdr:cNvGrpSpPr>
      </xdr:nvGrpSpPr>
      <xdr:grpSpPr bwMode="auto">
        <a:xfrm>
          <a:off x="139700" y="8890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0000"/>
  </sheetPr>
  <dimension ref="A1:IS60"/>
  <sheetViews>
    <sheetView showGridLines="0" showRowColHeaders="0" tabSelected="1" zoomScale="80" zoomScaleNormal="8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13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60</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8"/>
      <c r="I5" s="22"/>
      <c r="J5" s="22"/>
      <c r="K5" s="41"/>
      <c r="L5" s="22"/>
      <c r="M5" s="147"/>
      <c r="N5" s="180"/>
      <c r="O5" s="22"/>
      <c r="P5" s="22"/>
      <c r="Q5" s="146"/>
      <c r="R5" s="71"/>
      <c r="AG5" s="81">
        <v>10</v>
      </c>
      <c r="AH5" s="81">
        <f>COUNTIF(Engine!AL$1:AL$90,AG5)</f>
        <v>1</v>
      </c>
      <c r="AI5" s="164" t="s">
        <v>94</v>
      </c>
    </row>
    <row r="6" spans="1:35" x14ac:dyDescent="0.3">
      <c r="A6" s="26"/>
      <c r="B6" s="57"/>
      <c r="C6" s="30" t="s">
        <v>24</v>
      </c>
      <c r="D6" s="29"/>
      <c r="E6" s="29"/>
      <c r="F6" s="29"/>
      <c r="G6" s="40"/>
      <c r="H6" s="178"/>
      <c r="I6" s="22"/>
      <c r="J6" s="22"/>
      <c r="K6" s="43" t="str">
        <f>ROUND(AE14,1)&amp;"%"</f>
        <v>14.1%</v>
      </c>
      <c r="L6" s="22"/>
      <c r="M6" s="147"/>
      <c r="N6" s="180"/>
      <c r="O6" s="22"/>
      <c r="P6" s="22"/>
      <c r="Q6" s="148" t="str">
        <f>IF(T23&lt;5,"",ROUND(AE10,1)&amp;"%")</f>
        <v>80.3%</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10</v>
      </c>
    </row>
    <row r="7" spans="1:35" ht="12.75" customHeight="1" x14ac:dyDescent="0.3">
      <c r="A7" s="49"/>
      <c r="B7" s="57"/>
      <c r="C7" s="30" t="s">
        <v>35</v>
      </c>
      <c r="D7" s="29"/>
      <c r="E7" s="27"/>
      <c r="F7" s="27"/>
      <c r="G7" s="74"/>
      <c r="H7" s="178"/>
      <c r="I7" s="73"/>
      <c r="J7" s="73"/>
      <c r="K7" s="72"/>
      <c r="L7" s="22"/>
      <c r="M7" s="147"/>
      <c r="N7" s="180"/>
      <c r="O7" s="73"/>
      <c r="P7" s="73"/>
      <c r="Q7" s="148"/>
      <c r="R7" s="71"/>
      <c r="S7" s="81">
        <v>8</v>
      </c>
      <c r="T7" s="81">
        <f>IF(T23&lt;8,"",COUNTIF(Engine!P1:P90,$AA$24))</f>
        <v>12</v>
      </c>
      <c r="U7" s="81">
        <f>IF(T23&lt;8,"",COUNTIF(Engine!P1:P90,$AA$25))</f>
        <v>59</v>
      </c>
      <c r="V7" s="81">
        <f>IF(T23&lt;8,"",COUNTIF(Engine!Q1:Q90,AA24))</f>
        <v>0</v>
      </c>
      <c r="W7" s="81">
        <f>IF(T23&lt;8,"",COUNTIF(Engine!Q1:Q90,AA25))</f>
        <v>0</v>
      </c>
      <c r="X7" s="81">
        <f>IF(T23&lt;8,"",T7/($V$22)*100)</f>
        <v>16.901408450704224</v>
      </c>
      <c r="Y7" s="81">
        <f>IF(T23&lt;8,"",100-X7)</f>
        <v>83.098591549295776</v>
      </c>
      <c r="Z7" s="81">
        <f>IF(T23&lt;8,"",V7/$V$23*100)</f>
        <v>0</v>
      </c>
      <c r="AA7" s="81">
        <f>IF(T23&lt;8,"",W7/$V$23*100)</f>
        <v>0</v>
      </c>
      <c r="AC7" s="81">
        <f t="shared" ref="AC7:AD14" si="0">IF($AI$23=1,T7,V7)</f>
        <v>12</v>
      </c>
      <c r="AD7" s="81">
        <f t="shared" si="0"/>
        <v>59</v>
      </c>
      <c r="AE7" s="81">
        <f t="shared" ref="AE7:AF14" si="1">IF($AI$23=1,X7,Z7)</f>
        <v>16.901408450704224</v>
      </c>
      <c r="AF7" s="81">
        <f t="shared" si="1"/>
        <v>83.098591549295776</v>
      </c>
      <c r="AG7" s="81">
        <v>8</v>
      </c>
      <c r="AH7" s="81">
        <f>COUNTIF(Engine!AL$1:AL$90,AG7)</f>
        <v>0</v>
      </c>
      <c r="AI7" s="164" t="s">
        <v>101</v>
      </c>
    </row>
    <row r="8" spans="1:35" ht="12.75" customHeight="1" x14ac:dyDescent="0.3">
      <c r="A8" s="49"/>
      <c r="B8" s="52"/>
      <c r="C8" s="28"/>
      <c r="D8" s="27"/>
      <c r="E8" s="27"/>
      <c r="F8" s="27"/>
      <c r="G8" s="40"/>
      <c r="H8" s="178"/>
      <c r="I8" s="22"/>
      <c r="J8" s="22"/>
      <c r="K8" s="41"/>
      <c r="L8" s="22"/>
      <c r="M8" s="147"/>
      <c r="N8" s="180"/>
      <c r="O8" s="22"/>
      <c r="P8" s="22"/>
      <c r="Q8" s="148"/>
      <c r="R8" s="171"/>
      <c r="S8" s="81">
        <v>7</v>
      </c>
      <c r="T8" s="81">
        <f>IF(T23&lt;7,"",COUNTIF(Engine!O1:O90,$Z$24))</f>
        <v>34</v>
      </c>
      <c r="U8" s="81">
        <f>IF(T23&lt;7,"",COUNTIF(Engine!O1:O90,$Z$25))</f>
        <v>37</v>
      </c>
      <c r="V8" s="81">
        <f>IF(T23&lt;7,"",COUNTIF(Engine!Q1:Q90,Z24))</f>
        <v>0</v>
      </c>
      <c r="W8" s="81">
        <f>IF(T23&lt;7,"",COUNTIF(Engine!Q1:Q90,Z25))</f>
        <v>0</v>
      </c>
      <c r="X8" s="81">
        <f>IF(T23&lt;7,"",T8/($V$22)*100)</f>
        <v>47.887323943661968</v>
      </c>
      <c r="Y8" s="81">
        <f>IF(T23&lt;7,"",100-X8)</f>
        <v>52.112676056338032</v>
      </c>
      <c r="Z8" s="81">
        <f>IF(T23&lt;7,"",V8/$V$23*100)</f>
        <v>0</v>
      </c>
      <c r="AA8" s="81">
        <f>IF(T23&lt;7,"",W8/$V$23*100)</f>
        <v>0</v>
      </c>
      <c r="AC8" s="81">
        <f t="shared" si="0"/>
        <v>34</v>
      </c>
      <c r="AD8" s="81">
        <f t="shared" si="0"/>
        <v>37</v>
      </c>
      <c r="AE8" s="81">
        <f t="shared" si="1"/>
        <v>47.887323943661968</v>
      </c>
      <c r="AF8" s="81">
        <f t="shared" si="1"/>
        <v>52.112676056338032</v>
      </c>
      <c r="AG8" s="81">
        <v>7</v>
      </c>
      <c r="AH8" s="81">
        <f>COUNTIF(Engine!AL$1:AL$90,AG8)</f>
        <v>0</v>
      </c>
      <c r="AI8" s="164" t="s">
        <v>91</v>
      </c>
    </row>
    <row r="9" spans="1:35" ht="12.75" customHeight="1" x14ac:dyDescent="0.3">
      <c r="A9" s="49"/>
      <c r="B9" s="52"/>
      <c r="C9" s="28"/>
      <c r="D9" s="27"/>
      <c r="E9" s="27"/>
      <c r="F9" s="27"/>
      <c r="G9" s="40"/>
      <c r="H9" s="178"/>
      <c r="I9" s="22"/>
      <c r="J9" s="22"/>
      <c r="K9" s="43" t="str">
        <f>ROUND(AF14,1)&amp;"%"</f>
        <v>85.9%</v>
      </c>
      <c r="L9" s="70"/>
      <c r="M9" s="147"/>
      <c r="N9" s="180"/>
      <c r="O9" s="22"/>
      <c r="P9" s="22"/>
      <c r="Q9" s="148" t="str">
        <f>IF(T23&lt;5,"",ROUND(AF10,1)&amp;"%")</f>
        <v>19.7%</v>
      </c>
      <c r="R9" s="171"/>
      <c r="S9" s="81">
        <v>6</v>
      </c>
      <c r="T9" s="81">
        <f>IF(T23&lt;6,"",COUNTIF(Engine!N1:N90,$Y$24))</f>
        <v>61</v>
      </c>
      <c r="U9" s="81">
        <f>IF(T23&lt;6,"",COUNTIF(Engine!N1:N90,$Y$25))</f>
        <v>10</v>
      </c>
      <c r="V9" s="81">
        <f>IF(T23&lt;6,"",COUNTIF(Engine!Q1:Q90,Y24))</f>
        <v>0</v>
      </c>
      <c r="W9" s="81">
        <f>IF(T23&lt;6,"",COUNTIF(Engine!Q1:Q90,Y25))</f>
        <v>0</v>
      </c>
      <c r="X9" s="81">
        <f>IF(T23&lt;6,"",T9/($V$22)*100)</f>
        <v>85.91549295774648</v>
      </c>
      <c r="Y9" s="81">
        <f>IF(T23&lt;6,"",100-X9)</f>
        <v>14.08450704225352</v>
      </c>
      <c r="Z9" s="81">
        <f>IF(T23&lt;6,"",V9/$V$23*100)</f>
        <v>0</v>
      </c>
      <c r="AA9" s="81">
        <f>IF(T23&lt;6,"",W9/$V$23*100)</f>
        <v>0</v>
      </c>
      <c r="AC9" s="81">
        <f t="shared" si="0"/>
        <v>61</v>
      </c>
      <c r="AD9" s="81">
        <f t="shared" si="0"/>
        <v>10</v>
      </c>
      <c r="AE9" s="81">
        <f t="shared" si="1"/>
        <v>85.91549295774648</v>
      </c>
      <c r="AF9" s="81">
        <f t="shared" si="1"/>
        <v>14.08450704225352</v>
      </c>
      <c r="AG9" s="81">
        <v>6</v>
      </c>
      <c r="AH9" s="81">
        <f>COUNTIF(Engine!AL$1:AL$90,AG9)</f>
        <v>0</v>
      </c>
      <c r="AI9" s="164" t="s">
        <v>92</v>
      </c>
    </row>
    <row r="10" spans="1:35" ht="12.75" customHeight="1" x14ac:dyDescent="0.3">
      <c r="A10" s="49"/>
      <c r="B10" s="52"/>
      <c r="C10" s="68" t="s">
        <v>36</v>
      </c>
      <c r="D10" s="53"/>
      <c r="E10" s="53"/>
      <c r="F10" s="27"/>
      <c r="G10" s="40"/>
      <c r="H10" s="178"/>
      <c r="I10" s="22"/>
      <c r="J10" s="22"/>
      <c r="K10" s="41"/>
      <c r="L10" s="23"/>
      <c r="M10" s="147"/>
      <c r="N10" s="180"/>
      <c r="O10" s="22"/>
      <c r="P10" s="22"/>
      <c r="Q10" s="148"/>
      <c r="R10" s="171"/>
      <c r="S10" s="81">
        <v>5</v>
      </c>
      <c r="T10" s="81">
        <f>IF(T23&lt;5,"",COUNTIF(Engine!M1:M90,$X$24))</f>
        <v>57</v>
      </c>
      <c r="U10" s="81">
        <f>IF(T23&lt;5,"",COUNTIF(Engine!M1:M90,$X$25))</f>
        <v>14</v>
      </c>
      <c r="V10" s="81">
        <f>IF(T23&lt;5,"",COUNTIF(Engine!Q1:Q90,X24))</f>
        <v>0</v>
      </c>
      <c r="W10" s="81">
        <f>IF(T23&lt;5,"",COUNTIF(Engine!Q1:Q90,X25))</f>
        <v>0</v>
      </c>
      <c r="X10" s="81">
        <f>IF(T23&lt;5,"",T10/($V$22)*100)</f>
        <v>80.281690140845072</v>
      </c>
      <c r="Y10" s="81">
        <f>IF(T23&lt;5,"",100-X10)</f>
        <v>19.718309859154928</v>
      </c>
      <c r="Z10" s="81">
        <f>IF(T23&lt;5,"",V10/$V$23*100)</f>
        <v>0</v>
      </c>
      <c r="AA10" s="81">
        <f>IF(T23&lt;5,"",W10/$V$23*100)</f>
        <v>0</v>
      </c>
      <c r="AC10" s="81">
        <f t="shared" si="0"/>
        <v>57</v>
      </c>
      <c r="AD10" s="81">
        <f t="shared" si="0"/>
        <v>14</v>
      </c>
      <c r="AE10" s="81">
        <f t="shared" si="1"/>
        <v>80.281690140845072</v>
      </c>
      <c r="AF10" s="81">
        <f t="shared" si="1"/>
        <v>19.718309859154928</v>
      </c>
      <c r="AG10" s="81">
        <v>5</v>
      </c>
      <c r="AH10" s="81">
        <f>COUNTIF(Engine!AL$1:AL$90,AG10)</f>
        <v>0</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71</v>
      </c>
      <c r="U11" s="81">
        <f>COUNTIF(Engine!L1:L90,$W$25)</f>
        <v>0</v>
      </c>
      <c r="V11" s="81">
        <f>COUNTIF(Engine!Q1:Q90,W24)</f>
        <v>54</v>
      </c>
      <c r="W11" s="81">
        <f>COUNTIF(Engine!Q1:Q90,W25)</f>
        <v>0</v>
      </c>
      <c r="X11" s="81">
        <f>T11/($V$22)*100</f>
        <v>100</v>
      </c>
      <c r="Y11" s="81">
        <f>100-X11</f>
        <v>0</v>
      </c>
      <c r="Z11" s="81">
        <f t="shared" ref="Z11:AA14" si="2">V11/$V$23*100</f>
        <v>77.142857142857153</v>
      </c>
      <c r="AA11" s="81">
        <f t="shared" si="2"/>
        <v>0</v>
      </c>
      <c r="AC11" s="81">
        <f t="shared" si="0"/>
        <v>71</v>
      </c>
      <c r="AD11" s="81">
        <f t="shared" si="0"/>
        <v>0</v>
      </c>
      <c r="AE11" s="81">
        <f t="shared" si="1"/>
        <v>100</v>
      </c>
      <c r="AF11" s="81">
        <f t="shared" si="1"/>
        <v>0</v>
      </c>
      <c r="AG11" s="81">
        <v>4</v>
      </c>
      <c r="AH11" s="81">
        <f>COUNTIF(Engine!AL$1:AL$90,AG11)</f>
        <v>0</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66</v>
      </c>
      <c r="U12" s="81">
        <f>COUNTIF(Engine!K1:K90,$V$25)</f>
        <v>5</v>
      </c>
      <c r="V12" s="81">
        <f>COUNTIF(Engine!Q1:Q90,V24)</f>
        <v>5</v>
      </c>
      <c r="W12" s="81">
        <f>COUNTIF(Engine!Q1:Q90,V25)</f>
        <v>0</v>
      </c>
      <c r="X12" s="81">
        <f>T12/($V$22)*100</f>
        <v>92.957746478873233</v>
      </c>
      <c r="Y12" s="81">
        <f>100-X12</f>
        <v>7.0422535211267672</v>
      </c>
      <c r="Z12" s="81">
        <f t="shared" si="2"/>
        <v>7.1428571428571423</v>
      </c>
      <c r="AA12" s="81">
        <f t="shared" si="2"/>
        <v>0</v>
      </c>
      <c r="AC12" s="81">
        <f t="shared" si="0"/>
        <v>66</v>
      </c>
      <c r="AD12" s="81">
        <f t="shared" si="0"/>
        <v>5</v>
      </c>
      <c r="AE12" s="81">
        <f t="shared" si="1"/>
        <v>92.957746478873233</v>
      </c>
      <c r="AF12" s="81">
        <f t="shared" si="1"/>
        <v>7.0422535211267672</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1"/>
      <c r="S13" s="81">
        <v>2</v>
      </c>
      <c r="T13" s="81">
        <f>COUNTIF(Engine!J1:J90,$U$24)</f>
        <v>64</v>
      </c>
      <c r="U13" s="81">
        <f>COUNTIF(Engine!J1:J90,$U$25)</f>
        <v>7</v>
      </c>
      <c r="V13" s="81">
        <f>COUNTIF(Engine!Q1:Q90,U24)</f>
        <v>5</v>
      </c>
      <c r="W13" s="81">
        <f>COUNTIF(Engine!Q1:Q90,U25)</f>
        <v>0</v>
      </c>
      <c r="X13" s="81">
        <f>T13/($V$22)*100</f>
        <v>90.140845070422543</v>
      </c>
      <c r="Y13" s="81">
        <f>100-X13</f>
        <v>9.859154929577457</v>
      </c>
      <c r="Z13" s="81">
        <f t="shared" si="2"/>
        <v>7.1428571428571423</v>
      </c>
      <c r="AA13" s="81">
        <f t="shared" si="2"/>
        <v>0</v>
      </c>
      <c r="AC13" s="81">
        <f t="shared" si="0"/>
        <v>64</v>
      </c>
      <c r="AD13" s="81">
        <f t="shared" si="0"/>
        <v>7</v>
      </c>
      <c r="AE13" s="81">
        <f t="shared" si="1"/>
        <v>90.140845070422543</v>
      </c>
      <c r="AF13" s="81">
        <f t="shared" si="1"/>
        <v>9.859154929577457</v>
      </c>
      <c r="AG13" s="81">
        <v>2</v>
      </c>
      <c r="AH13" s="81">
        <f>COUNTIF(Engine!AL$1:AL$90,AG13)</f>
        <v>0</v>
      </c>
      <c r="AI13" s="164" t="s">
        <v>96</v>
      </c>
    </row>
    <row r="14" spans="1:35" ht="12.75" customHeight="1" x14ac:dyDescent="0.3">
      <c r="A14" s="49"/>
      <c r="B14" s="67" t="s">
        <v>19</v>
      </c>
      <c r="C14" s="66"/>
      <c r="D14" s="55"/>
      <c r="E14" s="53"/>
      <c r="F14" s="46"/>
      <c r="G14" s="40"/>
      <c r="H14" s="178"/>
      <c r="I14" s="22"/>
      <c r="J14" s="22"/>
      <c r="K14" s="41"/>
      <c r="L14" s="23"/>
      <c r="M14" s="146"/>
      <c r="N14" s="180"/>
      <c r="O14" s="22"/>
      <c r="P14" s="22"/>
      <c r="Q14" s="148"/>
      <c r="R14" s="6"/>
      <c r="S14" s="81">
        <v>1</v>
      </c>
      <c r="T14" s="81">
        <f>COUNTIF(Engine!I1:I90,$T$24)</f>
        <v>10</v>
      </c>
      <c r="U14" s="81">
        <f>COUNTIF(Engine!I1:I90,$T$25)</f>
        <v>61</v>
      </c>
      <c r="V14" s="81">
        <f>COUNTIF(Engine!Q1:Q90,T24)</f>
        <v>0</v>
      </c>
      <c r="W14" s="81">
        <f>COUNTIF(Engine!Q1:Q90,T25)</f>
        <v>6</v>
      </c>
      <c r="X14" s="81">
        <f>T14/($V$22)*100</f>
        <v>14.084507042253522</v>
      </c>
      <c r="Y14" s="81">
        <f>100-X14</f>
        <v>85.91549295774648</v>
      </c>
      <c r="Z14" s="81">
        <f t="shared" si="2"/>
        <v>0</v>
      </c>
      <c r="AA14" s="81">
        <f t="shared" si="2"/>
        <v>8.5714285714285712</v>
      </c>
      <c r="AC14" s="81">
        <f t="shared" si="0"/>
        <v>10</v>
      </c>
      <c r="AD14" s="81">
        <f t="shared" si="0"/>
        <v>61</v>
      </c>
      <c r="AE14" s="81">
        <f t="shared" si="1"/>
        <v>14.084507042253522</v>
      </c>
      <c r="AF14" s="81">
        <f t="shared" si="1"/>
        <v>85.91549295774648</v>
      </c>
      <c r="AG14" s="81">
        <v>1</v>
      </c>
      <c r="AH14" s="81">
        <f>COUNTIF(Engine!AL$1:AL$90,AG14)</f>
        <v>0</v>
      </c>
      <c r="AI14" s="164" t="s">
        <v>97</v>
      </c>
    </row>
    <row r="15" spans="1:35" ht="12.75" customHeight="1" x14ac:dyDescent="0.3">
      <c r="A15" s="49"/>
      <c r="B15" s="79"/>
      <c r="C15" s="65">
        <f>IF(T$23&gt;7,12,"")</f>
        <v>12</v>
      </c>
      <c r="D15" s="53"/>
      <c r="E15" s="53"/>
      <c r="F15" s="46"/>
      <c r="G15" s="40"/>
      <c r="H15" s="178"/>
      <c r="I15" s="22"/>
      <c r="J15" s="22"/>
      <c r="K15" s="43" t="str">
        <f>ROUND(AE13,1)&amp;"%"</f>
        <v>90.1%</v>
      </c>
      <c r="L15" s="23"/>
      <c r="M15" s="146"/>
      <c r="N15" s="180"/>
      <c r="O15" s="45"/>
      <c r="P15" s="45"/>
      <c r="Q15" s="148" t="str">
        <f>IF(T23&lt;6,"",ROUND(AE9,1)&amp;"%")</f>
        <v>85.9%</v>
      </c>
      <c r="R15" s="171"/>
      <c r="AG15" s="81">
        <v>0</v>
      </c>
      <c r="AH15" s="81">
        <f>COUNTIF(Engine!AL$1:AL$90,AG15)</f>
        <v>0</v>
      </c>
      <c r="AI15" s="164" t="s">
        <v>98</v>
      </c>
    </row>
    <row r="16" spans="1:35" ht="12.75" customHeight="1" x14ac:dyDescent="0.3">
      <c r="A16" s="49"/>
      <c r="B16" s="79"/>
      <c r="C16" s="58" t="str">
        <f>IF(T$23=8,"",IF(T$23&gt;6,11,""))</f>
        <v/>
      </c>
      <c r="D16" s="55"/>
      <c r="E16" s="53"/>
      <c r="F16" s="46"/>
      <c r="G16" s="40"/>
      <c r="H16" s="178"/>
      <c r="I16" s="22"/>
      <c r="J16" s="22"/>
      <c r="K16" s="41"/>
      <c r="L16" s="23"/>
      <c r="M16" s="146"/>
      <c r="N16" s="180"/>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80"/>
      <c r="I17" s="22"/>
      <c r="J17" s="22"/>
      <c r="K17" s="41"/>
      <c r="L17" s="23"/>
      <c r="M17" s="146"/>
      <c r="N17" s="178"/>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80"/>
      <c r="I18" s="22"/>
      <c r="J18" s="22"/>
      <c r="K18" s="43" t="str">
        <f>ROUND(AF13,1)&amp;"%"</f>
        <v>9.9%</v>
      </c>
      <c r="L18" s="23"/>
      <c r="M18" s="146"/>
      <c r="N18" s="178"/>
      <c r="O18" s="22"/>
      <c r="P18" s="22"/>
      <c r="Q18" s="148" t="str">
        <f>IF(T23&lt;6,"",ROUND(AF9,1)&amp;"%")</f>
        <v>14.1%</v>
      </c>
      <c r="R18" s="171"/>
      <c r="AG18" s="81" t="s">
        <v>38</v>
      </c>
      <c r="AH18" s="81">
        <f>COUNTIF(Engine!AK1:AK90,2)</f>
        <v>61</v>
      </c>
    </row>
    <row r="19" spans="1:36" x14ac:dyDescent="0.3">
      <c r="A19" s="49"/>
      <c r="B19" s="79"/>
      <c r="C19" s="65">
        <f>IF(T$23=5,"",IF(T$23&gt;3,8,""))</f>
        <v>8</v>
      </c>
      <c r="D19" s="53"/>
      <c r="E19" s="53"/>
      <c r="F19" s="46"/>
      <c r="G19" s="40"/>
      <c r="H19" s="180"/>
      <c r="I19" s="22"/>
      <c r="J19" s="22"/>
      <c r="K19" s="41"/>
      <c r="L19" s="23"/>
      <c r="M19" s="146"/>
      <c r="N19" s="178"/>
      <c r="O19" s="22"/>
      <c r="P19" s="22"/>
      <c r="Q19" s="148"/>
      <c r="R19" s="171"/>
      <c r="U19" s="81" t="s">
        <v>105</v>
      </c>
      <c r="V19" s="81">
        <f>30+T23</f>
        <v>38</v>
      </c>
      <c r="AG19" s="81" t="s">
        <v>39</v>
      </c>
      <c r="AH19" s="81">
        <f>V23-AH20-AH21</f>
        <v>70</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83</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71</v>
      </c>
      <c r="W22" s="81" t="s">
        <v>45</v>
      </c>
      <c r="X22" s="81" t="s">
        <v>46</v>
      </c>
      <c r="Y22" s="81">
        <f>Data!R3</f>
        <v>13</v>
      </c>
    </row>
    <row r="23" spans="1:36" x14ac:dyDescent="0.3">
      <c r="A23" s="49"/>
      <c r="B23" s="79"/>
      <c r="C23" s="63">
        <v>4</v>
      </c>
      <c r="D23" s="27"/>
      <c r="E23" s="46"/>
      <c r="F23" s="46"/>
      <c r="G23" s="40"/>
      <c r="H23" s="178"/>
      <c r="I23" s="22"/>
      <c r="J23" s="22"/>
      <c r="K23" s="41"/>
      <c r="L23" s="23"/>
      <c r="M23" s="146"/>
      <c r="N23" s="178"/>
      <c r="O23" s="22"/>
      <c r="P23" s="22"/>
      <c r="Q23" s="148"/>
      <c r="R23" s="171"/>
      <c r="T23" s="81">
        <f>Data!S3</f>
        <v>8</v>
      </c>
      <c r="U23" s="81" t="s">
        <v>47</v>
      </c>
      <c r="V23" s="81">
        <f>Data!S7</f>
        <v>70</v>
      </c>
      <c r="W23" s="81" t="s">
        <v>48</v>
      </c>
      <c r="AH23" s="81" t="s">
        <v>49</v>
      </c>
      <c r="AI23" s="165">
        <v>1</v>
      </c>
    </row>
    <row r="24" spans="1:36" x14ac:dyDescent="0.3">
      <c r="A24" s="49"/>
      <c r="B24" s="79"/>
      <c r="C24" s="62">
        <v>3</v>
      </c>
      <c r="D24" s="61"/>
      <c r="E24" s="46"/>
      <c r="F24" s="46"/>
      <c r="G24" s="40"/>
      <c r="H24" s="178"/>
      <c r="I24" s="45"/>
      <c r="J24" s="45"/>
      <c r="K24" s="43" t="str">
        <f>ROUND(AE12,1)&amp;"%"</f>
        <v>93%</v>
      </c>
      <c r="L24" s="23"/>
      <c r="M24" s="146"/>
      <c r="N24" s="178"/>
      <c r="O24" s="45"/>
      <c r="P24" s="45"/>
      <c r="Q24" s="148" t="str">
        <f>IF(T23&lt;7,"",ROUND(AE8,1)&amp;"%")</f>
        <v>47.9%</v>
      </c>
      <c r="R24" s="171"/>
      <c r="T24" s="81" t="str">
        <f>Data!$O3</f>
        <v>Dragons</v>
      </c>
      <c r="U24" s="81" t="str">
        <f>Data!$O4</f>
        <v>Sea Eagles</v>
      </c>
      <c r="V24" s="81" t="str">
        <f>Data!$O5</f>
        <v>Rabbitohs</v>
      </c>
      <c r="W24" s="81" t="str">
        <f>Data!$O6</f>
        <v>Storm</v>
      </c>
      <c r="X24" s="81" t="str">
        <f>Data!$O7</f>
        <v>Knights</v>
      </c>
      <c r="Y24" s="81" t="str">
        <f>Data!$O8</f>
        <v>Panthers</v>
      </c>
      <c r="Z24" s="81" t="str">
        <f>Data!$O9</f>
        <v>Titans</v>
      </c>
      <c r="AA24" s="81" t="str">
        <f>Data!$O10</f>
        <v>Sharks</v>
      </c>
    </row>
    <row r="25" spans="1:36" x14ac:dyDescent="0.3">
      <c r="A25" s="49"/>
      <c r="B25" s="79"/>
      <c r="C25" s="60">
        <v>2</v>
      </c>
      <c r="D25" s="46"/>
      <c r="E25" s="46"/>
      <c r="F25" s="46"/>
      <c r="G25" s="40"/>
      <c r="H25" s="178"/>
      <c r="I25" s="44"/>
      <c r="J25" s="44"/>
      <c r="K25" s="59"/>
      <c r="L25" s="23"/>
      <c r="M25" s="146"/>
      <c r="N25" s="178"/>
      <c r="O25" s="44"/>
      <c r="P25" s="44"/>
      <c r="Q25" s="148"/>
      <c r="R25" s="171"/>
      <c r="T25" s="81" t="str">
        <f>Data!$P3</f>
        <v>Roosters</v>
      </c>
      <c r="U25" s="81" t="str">
        <f>Data!$P4</f>
        <v>Warriors</v>
      </c>
      <c r="V25" s="81" t="str">
        <f>Data!$P5</f>
        <v>Broncos</v>
      </c>
      <c r="W25" s="81" t="str">
        <f>Data!$P6</f>
        <v>Bulldogs</v>
      </c>
      <c r="X25" s="81" t="str">
        <f>Data!$P7</f>
        <v>Wests Tigers</v>
      </c>
      <c r="Y25" s="81" t="str">
        <f>Data!$P8</f>
        <v>Raiders</v>
      </c>
      <c r="Z25" s="81" t="str">
        <f>Data!$P9</f>
        <v>Cowboys</v>
      </c>
      <c r="AA25" s="81" t="str">
        <f>Data!$P10</f>
        <v>Eels</v>
      </c>
    </row>
    <row r="26" spans="1:36" x14ac:dyDescent="0.3">
      <c r="A26" s="49"/>
      <c r="B26" s="79"/>
      <c r="C26" s="58">
        <v>1</v>
      </c>
      <c r="D26" s="55"/>
      <c r="E26" s="53"/>
      <c r="F26" s="46"/>
      <c r="G26" s="40"/>
      <c r="H26" s="178"/>
      <c r="I26" s="22"/>
      <c r="J26" s="22"/>
      <c r="K26" s="41"/>
      <c r="L26" s="23"/>
      <c r="M26" s="146"/>
      <c r="N26" s="178"/>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8"/>
      <c r="I27" s="22"/>
      <c r="J27" s="22"/>
      <c r="K27" s="43" t="str">
        <f>ROUND(AF12,1)&amp;"%"</f>
        <v>7%</v>
      </c>
      <c r="L27" s="23"/>
      <c r="M27" s="146"/>
      <c r="N27" s="178"/>
      <c r="O27" s="22"/>
      <c r="P27" s="22"/>
      <c r="Q27" s="148" t="str">
        <f>IF(T23&lt;7,"",ROUND(AF8,1)&amp;"%")</f>
        <v>52.1%</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8"/>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148</v>
      </c>
      <c r="F31" s="46"/>
      <c r="G31" s="47" t="str">
        <f>IF($AI$23=1,Data!Q6,"")</f>
        <v>Saturday  AEST</v>
      </c>
      <c r="H31" s="40"/>
      <c r="I31" s="40"/>
      <c r="J31" s="40"/>
      <c r="K31" s="41"/>
      <c r="L31" s="23"/>
      <c r="M31" s="146" t="str">
        <f>IF(T23=6,"",IF($AI$23=1,Data!Q10,""))</f>
        <v>Sunday  AEST</v>
      </c>
      <c r="N31" s="40"/>
      <c r="O31" s="40"/>
      <c r="P31" s="40"/>
      <c r="Q31" s="147"/>
      <c r="R31" s="171"/>
    </row>
    <row r="32" spans="1:36" x14ac:dyDescent="0.3">
      <c r="A32" s="76"/>
      <c r="B32" s="79">
        <v>2</v>
      </c>
      <c r="C32" s="176" t="s">
        <v>55</v>
      </c>
      <c r="D32" s="177"/>
      <c r="E32" s="42"/>
      <c r="F32" s="46"/>
      <c r="G32" s="40"/>
      <c r="H32" s="178"/>
      <c r="I32" s="22"/>
      <c r="J32" s="22"/>
      <c r="K32" s="41"/>
      <c r="L32" s="23"/>
      <c r="M32" s="147"/>
      <c r="N32" s="178"/>
      <c r="O32" s="22"/>
      <c r="P32" s="22"/>
      <c r="Q32" s="147"/>
      <c r="R32" s="171"/>
    </row>
    <row r="33" spans="1:253" x14ac:dyDescent="0.3">
      <c r="A33" s="76"/>
      <c r="B33" s="79">
        <v>3</v>
      </c>
      <c r="C33" s="176" t="s">
        <v>56</v>
      </c>
      <c r="D33" s="177"/>
      <c r="E33" s="42"/>
      <c r="F33" s="27"/>
      <c r="G33" s="40"/>
      <c r="H33" s="178"/>
      <c r="I33" s="22"/>
      <c r="J33" s="22"/>
      <c r="K33" s="43" t="str">
        <f>ROUND(AE11,1)&amp;"%"</f>
        <v>100%</v>
      </c>
      <c r="L33" s="23"/>
      <c r="M33" s="147"/>
      <c r="N33" s="178"/>
      <c r="O33" s="45"/>
      <c r="P33" s="45"/>
      <c r="Q33" s="151" t="str">
        <f>IF(T23&lt;8,"",ROUND(AE7,1)&amp;"%")</f>
        <v>16.9%</v>
      </c>
      <c r="R33" s="171"/>
    </row>
    <row r="34" spans="1:253" x14ac:dyDescent="0.3">
      <c r="A34" s="76"/>
      <c r="B34" s="79">
        <v>4</v>
      </c>
      <c r="C34" s="176" t="s">
        <v>57</v>
      </c>
      <c r="D34" s="177"/>
      <c r="E34" s="42"/>
      <c r="F34" s="27"/>
      <c r="G34" s="40"/>
      <c r="H34" s="178"/>
      <c r="I34" s="22"/>
      <c r="J34" s="22"/>
      <c r="K34" s="41"/>
      <c r="L34" s="22"/>
      <c r="M34" s="147"/>
      <c r="N34" s="178"/>
      <c r="O34" s="44"/>
      <c r="P34" s="44"/>
      <c r="Q34" s="147"/>
      <c r="R34" s="171"/>
    </row>
    <row r="35" spans="1:253" x14ac:dyDescent="0.3">
      <c r="A35" s="76"/>
      <c r="B35" s="79">
        <v>5</v>
      </c>
      <c r="C35" s="175" t="str">
        <f>IF(T23&lt;5,"","Select Winner - Game 5:")</f>
        <v>Select Winner - Game 5:</v>
      </c>
      <c r="D35" s="175"/>
      <c r="E35" s="42"/>
      <c r="F35" s="27"/>
      <c r="G35" s="40"/>
      <c r="H35" s="185"/>
      <c r="I35" s="22"/>
      <c r="J35" s="22"/>
      <c r="K35" s="41"/>
      <c r="L35" s="22"/>
      <c r="M35" s="147"/>
      <c r="N35" s="179"/>
      <c r="O35" s="22"/>
      <c r="P35" s="22"/>
      <c r="Q35" s="147"/>
      <c r="R35" s="6"/>
    </row>
    <row r="36" spans="1:253" x14ac:dyDescent="0.3">
      <c r="A36" s="76"/>
      <c r="B36" s="79">
        <v>6</v>
      </c>
      <c r="C36" s="175" t="str">
        <f>IF(T23&lt;6,"","Select Winner - Game 6:")</f>
        <v>Select Winner - Game 6:</v>
      </c>
      <c r="D36" s="175"/>
      <c r="E36" s="42"/>
      <c r="F36" s="27"/>
      <c r="G36" s="40"/>
      <c r="H36" s="185"/>
      <c r="I36" s="22"/>
      <c r="J36" s="22"/>
      <c r="K36" s="43" t="str">
        <f>ROUND(AF11,1)&amp;"%"</f>
        <v>0%</v>
      </c>
      <c r="L36" s="22"/>
      <c r="M36" s="147"/>
      <c r="N36" s="179"/>
      <c r="O36" s="22"/>
      <c r="P36" s="22"/>
      <c r="Q36" s="151" t="str">
        <f>IF(T23&lt;8,"",ROUND(AF7,1)&amp;"%")</f>
        <v>83.1%</v>
      </c>
      <c r="R36" s="171"/>
    </row>
    <row r="37" spans="1:253" x14ac:dyDescent="0.3">
      <c r="A37" s="76"/>
      <c r="B37" s="79">
        <v>7</v>
      </c>
      <c r="C37" s="175" t="str">
        <f>IF(T23&lt;7,"","Select Winner - Game 7:")</f>
        <v>Select Winner - Game 7:</v>
      </c>
      <c r="D37" s="175"/>
      <c r="E37" s="42"/>
      <c r="F37" s="27"/>
      <c r="G37" s="40"/>
      <c r="H37" s="185"/>
      <c r="I37" s="22"/>
      <c r="J37" s="22"/>
      <c r="K37" s="41"/>
      <c r="L37" s="22"/>
      <c r="M37" s="147"/>
      <c r="N37" s="179"/>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Dragons</v>
      </c>
      <c r="D43" s="33" t="str">
        <f t="shared" ref="D43:F43" si="3">U24</f>
        <v>Sea Eagles</v>
      </c>
      <c r="E43" s="33" t="str">
        <f t="shared" si="3"/>
        <v>Rabbitohs</v>
      </c>
      <c r="F43" s="33" t="str">
        <f t="shared" si="3"/>
        <v>Storm</v>
      </c>
      <c r="G43" s="33" t="str">
        <f>IF($T$23&gt;4,X24,"")</f>
        <v>Knights</v>
      </c>
      <c r="H43" s="33" t="str">
        <f>IF($T$23&gt;5,Y24,"")</f>
        <v>Panthers</v>
      </c>
      <c r="I43" s="33" t="str">
        <f>IF($T$23&gt;6,Z24,"")</f>
        <v>Titans</v>
      </c>
      <c r="J43" s="33" t="str">
        <f>IF($T$23&gt;7,AA24,"")</f>
        <v>Sharks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Roosters</v>
      </c>
      <c r="D44" s="33" t="str">
        <f t="shared" si="4"/>
        <v>Warriors</v>
      </c>
      <c r="E44" s="33" t="str">
        <f t="shared" si="4"/>
        <v>Broncos</v>
      </c>
      <c r="F44" s="33" t="str">
        <f t="shared" si="4"/>
        <v>Bulldogs</v>
      </c>
      <c r="G44" s="33" t="str">
        <f t="shared" ref="G44" si="5">IF($T$23&gt;4,X25,"")</f>
        <v>Wests Tigers</v>
      </c>
      <c r="H44" s="33" t="str">
        <f t="shared" ref="H44" si="6">IF($T$23&gt;5,Y25,"")</f>
        <v>Raiders</v>
      </c>
      <c r="I44" s="33" t="str">
        <f t="shared" ref="I44" si="7">IF($T$23&gt;6,Z25,"")</f>
        <v>Cowboys</v>
      </c>
      <c r="J44" s="33" t="str">
        <f t="shared" ref="J44" si="8">IF($T$23&gt;7,AA25,"")</f>
        <v>Eels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NaZHdyojsVOT3AV9vCGDnYx6Axb3UnHhi7jMH69qItqFReOD6q6lT1R/4C3DWwnby5dQbp0WqpNIPq6/9B81HA==" saltValue="vD/+SXaE47knvWFauH8hyQ=="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Dragons</v>
      </c>
      <c r="C4" s="103">
        <v>16</v>
      </c>
      <c r="D4" s="103">
        <v>24</v>
      </c>
      <c r="E4" s="2" t="str">
        <f>Data!P3</f>
        <v>Roosters</v>
      </c>
      <c r="F4" s="86"/>
      <c r="G4" s="115"/>
      <c r="H4" s="115"/>
      <c r="I4" s="112"/>
      <c r="L4" s="117" t="str">
        <f>IF(P13="","",VLOOKUP($P13,$P13:$AB13,3,FALSE))</f>
        <v/>
      </c>
      <c r="M4" s="119" t="str">
        <f>IF(P13="","",VLOOKUP($P13,$P13:$AB13,4,FALSE))</f>
        <v/>
      </c>
      <c r="N4" s="117" t="str">
        <f>IF(P13="","",VLOOKUP($P13,$P13:$AB13,5,FALSE))</f>
        <v/>
      </c>
      <c r="O4" s="109"/>
      <c r="P4" s="130" t="str">
        <f t="shared" ref="P4:P11" si="0">IF(D4="","",IF(C4&gt;D4,B4,E4))</f>
        <v>Roosters</v>
      </c>
      <c r="Q4" s="130" t="str">
        <f t="shared" ref="Q4:Q11" si="1">IF($D4="","",IF($C4&lt;$D4,$B4,$E4))</f>
        <v>Dragons</v>
      </c>
      <c r="R4" s="131" t="s">
        <v>15</v>
      </c>
      <c r="S4" s="155" t="s">
        <v>105</v>
      </c>
      <c r="T4" s="130">
        <f>3+T3</f>
        <v>11</v>
      </c>
    </row>
    <row r="5" spans="1:28" x14ac:dyDescent="0.3">
      <c r="A5" s="82">
        <v>2</v>
      </c>
      <c r="B5" s="2" t="str">
        <f>Data!O4</f>
        <v>Sea Eagles</v>
      </c>
      <c r="C5" s="103"/>
      <c r="D5" s="103"/>
      <c r="E5" s="2" t="str">
        <f>Data!P4</f>
        <v>Warriors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Rabbitohs</v>
      </c>
      <c r="C6" s="103"/>
      <c r="D6" s="103"/>
      <c r="E6" s="2" t="str">
        <f>Data!P5</f>
        <v>Broncos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Storm</v>
      </c>
      <c r="C7" s="103"/>
      <c r="D7" s="103"/>
      <c r="E7" s="2" t="str">
        <f>Data!P6</f>
        <v>Bulldogs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Knights</v>
      </c>
      <c r="C8" s="103"/>
      <c r="D8" s="103"/>
      <c r="E8" s="2" t="str">
        <f>IF(Data!S$3&lt;'Live Ladder'!$A8,"",Data!P7)</f>
        <v>Wests Tigers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Panthers</v>
      </c>
      <c r="C9" s="103"/>
      <c r="D9" s="103"/>
      <c r="E9" s="2" t="str">
        <f>IF(Data!S$3&lt;'Live Ladder'!$A9,"",Data!P8)</f>
        <v>Raiders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Titans</v>
      </c>
      <c r="C10" s="103"/>
      <c r="D10" s="103"/>
      <c r="E10" s="2" t="str">
        <f>IF(Data!S$3&lt;'Live Ladder'!$A10,"",Data!P9)</f>
        <v>Cowboys</v>
      </c>
      <c r="F10" s="86"/>
      <c r="J10" s="86" t="str">
        <f>IF(J8="No Tips","Tips not submitted","")</f>
        <v/>
      </c>
      <c r="P10" s="133" t="str">
        <f t="shared" si="0"/>
        <v/>
      </c>
      <c r="Q10" s="133" t="str">
        <f t="shared" si="1"/>
        <v/>
      </c>
    </row>
    <row r="11" spans="1:28" x14ac:dyDescent="0.3">
      <c r="A11" s="82">
        <v>8</v>
      </c>
      <c r="B11" s="2" t="str">
        <f>IF(Data!S$3&lt;'Live Ladder'!$A11,"",Data!O10)</f>
        <v>Sharks</v>
      </c>
      <c r="C11" s="103"/>
      <c r="D11" s="103"/>
      <c r="E11" s="2" t="str">
        <f>IF(Data!S$3&lt;'Live Ladder'!$A11,"",Data!P10)</f>
        <v>Eels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Mary McGregor</v>
      </c>
      <c r="F15" s="99"/>
      <c r="G15" s="13">
        <f>L15-VLOOKUP($A15,Engine!$D:$S,15,FALSE)</f>
        <v>1</v>
      </c>
      <c r="H15" s="13">
        <f>N15-VLOOKUP($A15,Engine!$D:$S,16,FALSE)</f>
        <v>24</v>
      </c>
      <c r="I15" s="14"/>
      <c r="J15" s="13" t="str">
        <f>IF(VLOOKUP(E15,Engine!H:Q,10,FALSE)=0,"",VLOOKUP(E15,Engine!H:Q,10,FALSE))</f>
        <v>Storm</v>
      </c>
      <c r="K15" s="100" t="str">
        <f t="shared" ref="K15:K46" si="3">IF(COUNTIF(P$4:P$11,J15)=1,R$6,IF(COUNTIF(Q$4:Q$11,J15)=1,R$7,""))</f>
        <v/>
      </c>
      <c r="L15" s="12">
        <f>VLOOKUP($A15,Engine!$D:$Z,22,FALSE)</f>
        <v>98</v>
      </c>
      <c r="M15" s="101"/>
      <c r="N15" s="12">
        <f>VLOOKUP($A15,Engine!$D:$Z,23,FALSE)</f>
        <v>2417</v>
      </c>
      <c r="O15" s="125"/>
    </row>
    <row r="16" spans="1:28" x14ac:dyDescent="0.3">
      <c r="A16" s="96">
        <f>A15+1</f>
        <v>2</v>
      </c>
      <c r="B16" s="12">
        <f t="shared" ref="B16:B46" si="4">A16</f>
        <v>2</v>
      </c>
      <c r="C16" s="97" t="str">
        <f>VLOOKUP($A16,Engine!$D:$H,2,FALSE)</f>
        <v>u</v>
      </c>
      <c r="D16" s="98" t="str">
        <f>VLOOKUP($A16,Engine!$D:$H,3,FALSE)</f>
        <v/>
      </c>
      <c r="E16" s="12" t="str">
        <f>VLOOKUP($A16,Engine!$D:$H,5,FALSE)</f>
        <v>Robbie’s Back</v>
      </c>
      <c r="F16" s="99"/>
      <c r="G16" s="13">
        <f>L16-VLOOKUP($A16,Engine!$D:$S,15,FALSE)</f>
        <v>1</v>
      </c>
      <c r="H16" s="13">
        <f>N16-VLOOKUP($A16,Engine!$D:$S,16,FALSE)</f>
        <v>24</v>
      </c>
      <c r="I16" s="14"/>
      <c r="J16" s="13" t="str">
        <f>IF(VLOOKUP(E16,Engine!H:Q,10,FALSE)=0,"",VLOOKUP(E16,Engine!H:Q,10,FALSE))</f>
        <v>Storm</v>
      </c>
      <c r="K16" s="100" t="str">
        <f t="shared" si="3"/>
        <v/>
      </c>
      <c r="L16" s="12">
        <f>VLOOKUP($A16,Engine!$D:$Z,22,FALSE)</f>
        <v>93</v>
      </c>
      <c r="M16" s="101"/>
      <c r="N16" s="12">
        <f>VLOOKUP($A16,Engine!$D:$Z,23,FALSE)</f>
        <v>2393</v>
      </c>
      <c r="O16" s="125"/>
    </row>
    <row r="17" spans="1:15" s="89" customFormat="1" x14ac:dyDescent="0.3">
      <c r="A17" s="96">
        <f t="shared" ref="A17:A46" si="5">A16+1</f>
        <v>3</v>
      </c>
      <c r="B17" s="12">
        <f t="shared" si="4"/>
        <v>3</v>
      </c>
      <c r="C17" s="97" t="str">
        <f>VLOOKUP($A17,Engine!$D:$H,2,FALSE)</f>
        <v>u</v>
      </c>
      <c r="D17" s="98" t="str">
        <f>VLOOKUP($A17,Engine!$D:$H,3,FALSE)</f>
        <v/>
      </c>
      <c r="E17" s="12" t="str">
        <f>VLOOKUP($A17,Engine!$D:$H,5,FALSE)</f>
        <v>786Om</v>
      </c>
      <c r="F17" s="99"/>
      <c r="G17" s="13">
        <f>L17-VLOOKUP($A17,Engine!$D:$S,15,FALSE)</f>
        <v>1</v>
      </c>
      <c r="H17" s="13">
        <f>N17-VLOOKUP($A17,Engine!$D:$S,16,FALSE)</f>
        <v>24</v>
      </c>
      <c r="I17" s="14"/>
      <c r="J17" s="13" t="str">
        <f>IF(VLOOKUP(E17,Engine!H:Q,10,FALSE)=0,"",VLOOKUP(E17,Engine!H:Q,10,FALSE))</f>
        <v>Storm</v>
      </c>
      <c r="K17" s="100" t="str">
        <f t="shared" si="3"/>
        <v/>
      </c>
      <c r="L17" s="12">
        <f>VLOOKUP($A17,Engine!$D:$Z,22,FALSE)</f>
        <v>93</v>
      </c>
      <c r="M17" s="101"/>
      <c r="N17" s="12">
        <f>VLOOKUP($A17,Engine!$D:$Z,23,FALSE)</f>
        <v>2360</v>
      </c>
      <c r="O17" s="125"/>
    </row>
    <row r="18" spans="1:15" s="89" customFormat="1" x14ac:dyDescent="0.3">
      <c r="A18" s="96">
        <f t="shared" si="5"/>
        <v>4</v>
      </c>
      <c r="B18" s="12">
        <f t="shared" si="4"/>
        <v>4</v>
      </c>
      <c r="C18" s="97" t="str">
        <f>VLOOKUP($A18,Engine!$D:$H,2,FALSE)</f>
        <v>u</v>
      </c>
      <c r="D18" s="98" t="str">
        <f>VLOOKUP($A18,Engine!$D:$H,3,FALSE)</f>
        <v/>
      </c>
      <c r="E18" s="12" t="str">
        <f>VLOOKUP($A18,Engine!$D:$H,5,FALSE)</f>
        <v>Seano</v>
      </c>
      <c r="F18" s="99"/>
      <c r="G18" s="13">
        <f>L18-VLOOKUP($A18,Engine!$D:$S,15,FALSE)</f>
        <v>1</v>
      </c>
      <c r="H18" s="13">
        <f>N18-VLOOKUP($A18,Engine!$D:$S,16,FALSE)</f>
        <v>24</v>
      </c>
      <c r="I18" s="14"/>
      <c r="J18" s="13" t="str">
        <f>IF(VLOOKUP(E18,Engine!H:Q,10,FALSE)=0,"",VLOOKUP(E18,Engine!H:Q,10,FALSE))</f>
        <v>Sea Eagles</v>
      </c>
      <c r="K18" s="100" t="str">
        <f t="shared" si="3"/>
        <v/>
      </c>
      <c r="L18" s="12">
        <f>VLOOKUP($A18,Engine!$D:$Z,22,FALSE)</f>
        <v>93</v>
      </c>
      <c r="M18" s="101"/>
      <c r="N18" s="12">
        <f>VLOOKUP($A18,Engine!$D:$Z,23,FALSE)</f>
        <v>2348</v>
      </c>
      <c r="O18" s="125"/>
    </row>
    <row r="19" spans="1:15" s="89" customFormat="1" x14ac:dyDescent="0.3">
      <c r="A19" s="96">
        <f t="shared" si="5"/>
        <v>5</v>
      </c>
      <c r="B19" s="12">
        <f t="shared" si="4"/>
        <v>5</v>
      </c>
      <c r="C19" s="97" t="str">
        <f>VLOOKUP($A19,Engine!$D:$H,2,FALSE)</f>
        <v>u</v>
      </c>
      <c r="D19" s="98" t="str">
        <f>VLOOKUP($A19,Engine!$D:$H,3,FALSE)</f>
        <v/>
      </c>
      <c r="E19" s="12" t="str">
        <f>VLOOKUP($A19,Engine!$D:$H,5,FALSE)</f>
        <v>MR. TAYLOR</v>
      </c>
      <c r="F19" s="99"/>
      <c r="G19" s="13">
        <f>L19-VLOOKUP($A19,Engine!$D:$S,15,FALSE)</f>
        <v>1</v>
      </c>
      <c r="H19" s="13">
        <f>N19-VLOOKUP($A19,Engine!$D:$S,16,FALSE)</f>
        <v>24</v>
      </c>
      <c r="I19" s="14"/>
      <c r="J19" s="13" t="str">
        <f>IF(VLOOKUP(E19,Engine!H:Q,10,FALSE)=0,"",VLOOKUP(E19,Engine!H:Q,10,FALSE))</f>
        <v>Storm</v>
      </c>
      <c r="K19" s="100" t="str">
        <f t="shared" si="3"/>
        <v/>
      </c>
      <c r="L19" s="12">
        <f>VLOOKUP($A19,Engine!$D:$Z,22,FALSE)</f>
        <v>93</v>
      </c>
      <c r="M19" s="101"/>
      <c r="N19" s="12">
        <f>VLOOKUP($A19,Engine!$D:$Z,23,FALSE)</f>
        <v>2321</v>
      </c>
      <c r="O19" s="107"/>
    </row>
    <row r="20" spans="1:15" s="89" customFormat="1" x14ac:dyDescent="0.3">
      <c r="A20" s="96">
        <f t="shared" si="5"/>
        <v>6</v>
      </c>
      <c r="B20" s="12">
        <f t="shared" si="4"/>
        <v>6</v>
      </c>
      <c r="C20" s="97" t="str">
        <f>VLOOKUP($A20,Engine!$D:$H,2,FALSE)</f>
        <v>u</v>
      </c>
      <c r="D20" s="98" t="str">
        <f>VLOOKUP($A20,Engine!$D:$H,3,FALSE)</f>
        <v/>
      </c>
      <c r="E20" s="12" t="str">
        <f>VLOOKUP($A20,Engine!$D:$H,5,FALSE)</f>
        <v>DaveM</v>
      </c>
      <c r="F20" s="99"/>
      <c r="G20" s="13">
        <f>L20-VLOOKUP($A20,Engine!$D:$S,15,FALSE)</f>
        <v>1</v>
      </c>
      <c r="H20" s="13">
        <f>N20-VLOOKUP($A20,Engine!$D:$S,16,FALSE)</f>
        <v>24</v>
      </c>
      <c r="I20" s="14"/>
      <c r="J20" s="13" t="str">
        <f>IF(VLOOKUP(E20,Engine!H:Q,10,FALSE)=0,"",VLOOKUP(E20,Engine!H:Q,10,FALSE))</f>
        <v>Storm</v>
      </c>
      <c r="K20" s="100" t="str">
        <f t="shared" si="3"/>
        <v/>
      </c>
      <c r="L20" s="12">
        <f>VLOOKUP($A20,Engine!$D:$Z,22,FALSE)</f>
        <v>92</v>
      </c>
      <c r="M20" s="101"/>
      <c r="N20" s="12">
        <f>VLOOKUP($A20,Engine!$D:$Z,23,FALSE)</f>
        <v>2338</v>
      </c>
      <c r="O20" s="107"/>
    </row>
    <row r="21" spans="1:15" s="89" customFormat="1" x14ac:dyDescent="0.3">
      <c r="A21" s="96">
        <f t="shared" si="5"/>
        <v>7</v>
      </c>
      <c r="B21" s="12">
        <f t="shared" si="4"/>
        <v>7</v>
      </c>
      <c r="C21" s="97" t="str">
        <f>VLOOKUP($A21,Engine!$D:$H,2,FALSE)</f>
        <v>u</v>
      </c>
      <c r="D21" s="98" t="str">
        <f>VLOOKUP($A21,Engine!$D:$H,3,FALSE)</f>
        <v/>
      </c>
      <c r="E21" s="12" t="str">
        <f>VLOOKUP($A21,Engine!$D:$H,5,FALSE)</f>
        <v>Caline</v>
      </c>
      <c r="F21" s="99"/>
      <c r="G21" s="13">
        <f>L21-VLOOKUP($A21,Engine!$D:$S,15,FALSE)</f>
        <v>1</v>
      </c>
      <c r="H21" s="13">
        <f>N21-VLOOKUP($A21,Engine!$D:$S,16,FALSE)</f>
        <v>24</v>
      </c>
      <c r="I21" s="14"/>
      <c r="J21" s="13" t="str">
        <f>IF(VLOOKUP(E21,Engine!H:Q,10,FALSE)=0,"",VLOOKUP(E21,Engine!H:Q,10,FALSE))</f>
        <v>Storm</v>
      </c>
      <c r="K21" s="100" t="str">
        <f t="shared" si="3"/>
        <v/>
      </c>
      <c r="L21" s="12">
        <f>VLOOKUP($A21,Engine!$D:$Z,22,FALSE)</f>
        <v>92</v>
      </c>
      <c r="M21" s="101"/>
      <c r="N21" s="12">
        <f>VLOOKUP($A21,Engine!$D:$Z,23,FALSE)</f>
        <v>2334</v>
      </c>
      <c r="O21" s="107"/>
    </row>
    <row r="22" spans="1:15" s="89" customFormat="1" x14ac:dyDescent="0.3">
      <c r="A22" s="96">
        <f t="shared" si="5"/>
        <v>8</v>
      </c>
      <c r="B22" s="12">
        <f t="shared" si="4"/>
        <v>8</v>
      </c>
      <c r="C22" s="97" t="str">
        <f>VLOOKUP($A22,Engine!$D:$H,2,FALSE)</f>
        <v>u</v>
      </c>
      <c r="D22" s="98" t="str">
        <f>VLOOKUP($A22,Engine!$D:$H,3,FALSE)</f>
        <v/>
      </c>
      <c r="E22" s="12" t="str">
        <f>VLOOKUP($A22,Engine!$D:$H,5,FALSE)</f>
        <v>Magnum</v>
      </c>
      <c r="F22" s="99"/>
      <c r="G22" s="13">
        <f>L22-VLOOKUP($A22,Engine!$D:$S,15,FALSE)</f>
        <v>1</v>
      </c>
      <c r="H22" s="13">
        <f>N22-VLOOKUP($A22,Engine!$D:$S,16,FALSE)</f>
        <v>24</v>
      </c>
      <c r="I22" s="14"/>
      <c r="J22" s="13" t="str">
        <f>IF(VLOOKUP(E22,Engine!H:Q,10,FALSE)=0,"",VLOOKUP(E22,Engine!H:Q,10,FALSE))</f>
        <v>Storm</v>
      </c>
      <c r="K22" s="100" t="str">
        <f t="shared" si="3"/>
        <v/>
      </c>
      <c r="L22" s="12">
        <f>VLOOKUP($A22,Engine!$D:$Z,22,FALSE)</f>
        <v>92</v>
      </c>
      <c r="M22" s="101"/>
      <c r="N22" s="12">
        <f>VLOOKUP($A22,Engine!$D:$Z,23,FALSE)</f>
        <v>2265</v>
      </c>
      <c r="O22" s="107"/>
    </row>
    <row r="23" spans="1:15" s="89" customFormat="1" x14ac:dyDescent="0.3">
      <c r="A23" s="96">
        <f t="shared" si="5"/>
        <v>9</v>
      </c>
      <c r="B23" s="12">
        <f t="shared" si="4"/>
        <v>9</v>
      </c>
      <c r="C23" s="97" t="str">
        <f>VLOOKUP($A23,Engine!$D:$H,2,FALSE)</f>
        <v>u</v>
      </c>
      <c r="D23" s="98" t="str">
        <f>VLOOKUP($A23,Engine!$D:$H,3,FALSE)</f>
        <v/>
      </c>
      <c r="E23" s="12" t="str">
        <f>VLOOKUP($A23,Engine!$D:$H,5,FALSE)</f>
        <v>MB</v>
      </c>
      <c r="F23" s="99"/>
      <c r="G23" s="13">
        <f>L23-VLOOKUP($A23,Engine!$D:$S,15,FALSE)</f>
        <v>1</v>
      </c>
      <c r="H23" s="13">
        <f>N23-VLOOKUP($A23,Engine!$D:$S,16,FALSE)</f>
        <v>24</v>
      </c>
      <c r="I23" s="14"/>
      <c r="J23" s="13" t="str">
        <f>IF(VLOOKUP(E23,Engine!H:Q,10,FALSE)=0,"",VLOOKUP(E23,Engine!H:Q,10,FALSE))</f>
        <v>Storm</v>
      </c>
      <c r="K23" s="100" t="str">
        <f t="shared" si="3"/>
        <v/>
      </c>
      <c r="L23" s="12">
        <f>VLOOKUP($A23,Engine!$D:$Z,22,FALSE)</f>
        <v>91</v>
      </c>
      <c r="M23" s="101"/>
      <c r="N23" s="12">
        <f>VLOOKUP($A23,Engine!$D:$Z,23,FALSE)</f>
        <v>2356</v>
      </c>
      <c r="O23" s="107"/>
    </row>
    <row r="24" spans="1:15" s="89" customFormat="1" x14ac:dyDescent="0.3">
      <c r="A24" s="96">
        <f t="shared" si="5"/>
        <v>10</v>
      </c>
      <c r="B24" s="12">
        <f t="shared" si="4"/>
        <v>10</v>
      </c>
      <c r="C24" s="97" t="str">
        <f>VLOOKUP($A24,Engine!$D:$H,2,FALSE)</f>
        <v>u</v>
      </c>
      <c r="D24" s="98" t="str">
        <f>VLOOKUP($A24,Engine!$D:$H,3,FALSE)</f>
        <v/>
      </c>
      <c r="E24" s="12" t="str">
        <f>VLOOKUP($A24,Engine!$D:$H,5,FALSE)</f>
        <v>BigBadBenji</v>
      </c>
      <c r="F24" s="99"/>
      <c r="G24" s="13">
        <f>L24-VLOOKUP($A24,Engine!$D:$S,15,FALSE)</f>
        <v>1</v>
      </c>
      <c r="H24" s="13">
        <f>N24-VLOOKUP($A24,Engine!$D:$S,16,FALSE)</f>
        <v>24</v>
      </c>
      <c r="I24" s="14"/>
      <c r="J24" s="13" t="str">
        <f>IF(VLOOKUP(E24,Engine!H:Q,10,FALSE)=0,"",VLOOKUP(E24,Engine!H:Q,10,FALSE))</f>
        <v>Storm</v>
      </c>
      <c r="K24" s="100" t="str">
        <f t="shared" si="3"/>
        <v/>
      </c>
      <c r="L24" s="12">
        <f>VLOOKUP($A24,Engine!$D:$Z,22,FALSE)</f>
        <v>91</v>
      </c>
      <c r="M24" s="101"/>
      <c r="N24" s="12">
        <f>VLOOKUP($A24,Engine!$D:$Z,23,FALSE)</f>
        <v>2341</v>
      </c>
      <c r="O24" s="107"/>
    </row>
    <row r="25" spans="1:15" s="89" customFormat="1" x14ac:dyDescent="0.3">
      <c r="A25" s="96">
        <f t="shared" si="5"/>
        <v>11</v>
      </c>
      <c r="B25" s="12">
        <f t="shared" si="4"/>
        <v>11</v>
      </c>
      <c r="C25" s="97" t="str">
        <f>VLOOKUP($A25,Engine!$D:$H,2,FALSE)</f>
        <v>p</v>
      </c>
      <c r="D25" s="98">
        <f>VLOOKUP($A25,Engine!$D:$H,3,FALSE)</f>
        <v>7</v>
      </c>
      <c r="E25" s="12" t="str">
        <f>VLOOKUP($A25,Engine!$D:$H,5,FALSE)</f>
        <v>Offside_Touchie</v>
      </c>
      <c r="F25" s="99"/>
      <c r="G25" s="13">
        <f>L25-VLOOKUP($A25,Engine!$D:$S,15,FALSE)</f>
        <v>3</v>
      </c>
      <c r="H25" s="13">
        <f>N25-VLOOKUP($A25,Engine!$D:$S,16,FALSE)</f>
        <v>24</v>
      </c>
      <c r="I25" s="14"/>
      <c r="J25" s="13" t="str">
        <f>IF(VLOOKUP(E25,Engine!H:Q,10,FALSE)=0,"",VLOOKUP(E25,Engine!H:Q,10,FALSE))</f>
        <v>Roosters</v>
      </c>
      <c r="K25" s="100" t="str">
        <f t="shared" si="3"/>
        <v>ü</v>
      </c>
      <c r="L25" s="12">
        <f>VLOOKUP($A25,Engine!$D:$Z,22,FALSE)</f>
        <v>91</v>
      </c>
      <c r="M25" s="101"/>
      <c r="N25" s="12">
        <f>VLOOKUP($A25,Engine!$D:$Z,23,FALSE)</f>
        <v>2333</v>
      </c>
      <c r="O25" s="107"/>
    </row>
    <row r="26" spans="1:15" s="89" customFormat="1" x14ac:dyDescent="0.3">
      <c r="A26" s="96">
        <f t="shared" si="5"/>
        <v>12</v>
      </c>
      <c r="B26" s="12">
        <f t="shared" si="4"/>
        <v>12</v>
      </c>
      <c r="C26" s="97" t="str">
        <f>VLOOKUP($A26,Engine!$D:$H,2,FALSE)</f>
        <v>q</v>
      </c>
      <c r="D26" s="98">
        <f>VLOOKUP($A26,Engine!$D:$H,3,FALSE)</f>
        <v>1</v>
      </c>
      <c r="E26" s="12" t="str">
        <f>VLOOKUP($A26,Engine!$D:$H,5,FALSE)</f>
        <v>PabloW</v>
      </c>
      <c r="F26" s="99"/>
      <c r="G26" s="13">
        <f>L26-VLOOKUP($A26,Engine!$D:$S,15,FALSE)</f>
        <v>1</v>
      </c>
      <c r="H26" s="13">
        <f>N26-VLOOKUP($A26,Engine!$D:$S,16,FALSE)</f>
        <v>24</v>
      </c>
      <c r="I26" s="14"/>
      <c r="J26" s="13" t="str">
        <f>IF(VLOOKUP(E26,Engine!H:Q,10,FALSE)=0,"",VLOOKUP(E26,Engine!H:Q,10,FALSE))</f>
        <v>Storm</v>
      </c>
      <c r="K26" s="100" t="str">
        <f t="shared" si="3"/>
        <v/>
      </c>
      <c r="L26" s="12">
        <f>VLOOKUP($A26,Engine!$D:$Z,22,FALSE)</f>
        <v>91</v>
      </c>
      <c r="M26" s="101"/>
      <c r="N26" s="12">
        <f>VLOOKUP($A26,Engine!$D:$Z,23,FALSE)</f>
        <v>2313</v>
      </c>
      <c r="O26" s="107"/>
    </row>
    <row r="27" spans="1:15" s="89" customFormat="1" x14ac:dyDescent="0.3">
      <c r="A27" s="96">
        <f t="shared" si="5"/>
        <v>13</v>
      </c>
      <c r="B27" s="12">
        <f t="shared" si="4"/>
        <v>13</v>
      </c>
      <c r="C27" s="97" t="str">
        <f>VLOOKUP($A27,Engine!$D:$H,2,FALSE)</f>
        <v>u</v>
      </c>
      <c r="D27" s="98" t="str">
        <f>VLOOKUP($A27,Engine!$D:$H,3,FALSE)</f>
        <v/>
      </c>
      <c r="E27" s="12" t="str">
        <f>VLOOKUP($A27,Engine!$D:$H,5,FALSE)</f>
        <v>Runner</v>
      </c>
      <c r="F27" s="99"/>
      <c r="G27" s="13">
        <f>L27-VLOOKUP($A27,Engine!$D:$S,15,FALSE)</f>
        <v>1</v>
      </c>
      <c r="H27" s="13">
        <f>N27-VLOOKUP($A27,Engine!$D:$S,16,FALSE)</f>
        <v>24</v>
      </c>
      <c r="I27" s="14"/>
      <c r="J27" s="13" t="str">
        <f>IF(VLOOKUP(E27,Engine!H:Q,10,FALSE)=0,"",VLOOKUP(E27,Engine!H:Q,10,FALSE))</f>
        <v>Storm</v>
      </c>
      <c r="K27" s="100" t="str">
        <f t="shared" si="3"/>
        <v/>
      </c>
      <c r="L27" s="12">
        <f>VLOOKUP($A27,Engine!$D:$Z,22,FALSE)</f>
        <v>90</v>
      </c>
      <c r="M27" s="101"/>
      <c r="N27" s="12">
        <f>VLOOKUP($A27,Engine!$D:$Z,23,FALSE)</f>
        <v>2332</v>
      </c>
      <c r="O27" s="107"/>
    </row>
    <row r="28" spans="1:15" s="89" customFormat="1" x14ac:dyDescent="0.3">
      <c r="A28" s="96">
        <f t="shared" si="5"/>
        <v>14</v>
      </c>
      <c r="B28" s="12">
        <f t="shared" si="4"/>
        <v>14</v>
      </c>
      <c r="C28" s="97" t="str">
        <f>VLOOKUP($A28,Engine!$D:$H,2,FALSE)</f>
        <v>p</v>
      </c>
      <c r="D28" s="98">
        <f>VLOOKUP($A28,Engine!$D:$H,3,FALSE)</f>
        <v>6</v>
      </c>
      <c r="E28" s="12" t="str">
        <f>VLOOKUP($A28,Engine!$D:$H,5,FALSE)</f>
        <v>Om786</v>
      </c>
      <c r="F28" s="99"/>
      <c r="G28" s="13">
        <f>L28-VLOOKUP($A28,Engine!$D:$S,15,FALSE)</f>
        <v>3</v>
      </c>
      <c r="H28" s="13">
        <f>N28-VLOOKUP($A28,Engine!$D:$S,16,FALSE)</f>
        <v>24</v>
      </c>
      <c r="I28" s="14"/>
      <c r="J28" s="13" t="str">
        <f>IF(VLOOKUP(E28,Engine!H:Q,10,FALSE)=0,"",VLOOKUP(E28,Engine!H:Q,10,FALSE))</f>
        <v>Roosters</v>
      </c>
      <c r="K28" s="100" t="str">
        <f t="shared" si="3"/>
        <v>ü</v>
      </c>
      <c r="L28" s="12">
        <f>VLOOKUP($A28,Engine!$D:$Z,22,FALSE)</f>
        <v>90</v>
      </c>
      <c r="M28" s="101"/>
      <c r="N28" s="12">
        <f>VLOOKUP($A28,Engine!$D:$Z,23,FALSE)</f>
        <v>2310</v>
      </c>
      <c r="O28" s="107"/>
    </row>
    <row r="29" spans="1:15" s="89" customFormat="1" x14ac:dyDescent="0.3">
      <c r="A29" s="96">
        <f t="shared" si="5"/>
        <v>15</v>
      </c>
      <c r="B29" s="12">
        <f t="shared" si="4"/>
        <v>15</v>
      </c>
      <c r="C29" s="97" t="str">
        <f>VLOOKUP($A29,Engine!$D:$H,2,FALSE)</f>
        <v>q</v>
      </c>
      <c r="D29" s="98">
        <f>VLOOKUP($A29,Engine!$D:$H,3,FALSE)</f>
        <v>1</v>
      </c>
      <c r="E29" s="12" t="str">
        <f>VLOOKUP($A29,Engine!$D:$H,5,FALSE)</f>
        <v>Yackas</v>
      </c>
      <c r="F29" s="99"/>
      <c r="G29" s="13">
        <f>L29-VLOOKUP($A29,Engine!$D:$S,15,FALSE)</f>
        <v>1</v>
      </c>
      <c r="H29" s="13">
        <f>N29-VLOOKUP($A29,Engine!$D:$S,16,FALSE)</f>
        <v>24</v>
      </c>
      <c r="I29" s="14"/>
      <c r="J29" s="13" t="str">
        <f>IF(VLOOKUP(E29,Engine!H:Q,10,FALSE)=0,"",VLOOKUP(E29,Engine!H:Q,10,FALSE))</f>
        <v>Storm</v>
      </c>
      <c r="K29" s="100" t="str">
        <f t="shared" si="3"/>
        <v/>
      </c>
      <c r="L29" s="12">
        <f>VLOOKUP($A29,Engine!$D:$Z,22,FALSE)</f>
        <v>90</v>
      </c>
      <c r="M29" s="101"/>
      <c r="N29" s="12">
        <f>VLOOKUP($A29,Engine!$D:$Z,23,FALSE)</f>
        <v>2295</v>
      </c>
      <c r="O29" s="107"/>
    </row>
    <row r="30" spans="1:15" s="89" customFormat="1" x14ac:dyDescent="0.3">
      <c r="A30" s="96">
        <f t="shared" si="5"/>
        <v>16</v>
      </c>
      <c r="B30" s="12">
        <f t="shared" si="4"/>
        <v>16</v>
      </c>
      <c r="C30" s="97" t="str">
        <f>VLOOKUP($A30,Engine!$D:$H,2,FALSE)</f>
        <v>q</v>
      </c>
      <c r="D30" s="98">
        <f>VLOOKUP($A30,Engine!$D:$H,3,FALSE)</f>
        <v>1</v>
      </c>
      <c r="E30" s="12" t="str">
        <f>VLOOKUP($A30,Engine!$D:$H,5,FALSE)</f>
        <v>The Creator</v>
      </c>
      <c r="F30" s="99"/>
      <c r="G30" s="13">
        <f>L30-VLOOKUP($A30,Engine!$D:$S,15,FALSE)</f>
        <v>1</v>
      </c>
      <c r="H30" s="13">
        <f>N30-VLOOKUP($A30,Engine!$D:$S,16,FALSE)</f>
        <v>24</v>
      </c>
      <c r="I30" s="14"/>
      <c r="J30" s="13" t="str">
        <f>IF(VLOOKUP(E30,Engine!H:Q,10,FALSE)=0,"",VLOOKUP(E30,Engine!H:Q,10,FALSE))</f>
        <v>Sea Eagles</v>
      </c>
      <c r="K30" s="100" t="str">
        <f t="shared" si="3"/>
        <v/>
      </c>
      <c r="L30" s="12">
        <f>VLOOKUP($A30,Engine!$D:$Z,22,FALSE)</f>
        <v>90</v>
      </c>
      <c r="M30" s="101"/>
      <c r="N30" s="12">
        <f>VLOOKUP($A30,Engine!$D:$Z,23,FALSE)</f>
        <v>2286</v>
      </c>
      <c r="O30" s="107"/>
    </row>
    <row r="31" spans="1:15" s="89" customFormat="1" x14ac:dyDescent="0.3">
      <c r="A31" s="96">
        <f t="shared" si="5"/>
        <v>17</v>
      </c>
      <c r="B31" s="12">
        <f t="shared" si="4"/>
        <v>17</v>
      </c>
      <c r="C31" s="97" t="str">
        <f>VLOOKUP($A31,Engine!$D:$H,2,FALSE)</f>
        <v>q</v>
      </c>
      <c r="D31" s="98">
        <f>VLOOKUP($A31,Engine!$D:$H,3,FALSE)</f>
        <v>1</v>
      </c>
      <c r="E31" s="12" t="str">
        <f>VLOOKUP($A31,Engine!$D:$H,5,FALSE)</f>
        <v>Guru2810</v>
      </c>
      <c r="F31" s="99"/>
      <c r="G31" s="13">
        <f>L31-VLOOKUP($A31,Engine!$D:$S,15,FALSE)</f>
        <v>1</v>
      </c>
      <c r="H31" s="13">
        <f>N31-VLOOKUP($A31,Engine!$D:$S,16,FALSE)</f>
        <v>24</v>
      </c>
      <c r="I31" s="14"/>
      <c r="J31" s="13" t="str">
        <f>IF(VLOOKUP(E31,Engine!H:Q,10,FALSE)=0,"",VLOOKUP(E31,Engine!H:Q,10,FALSE))</f>
        <v>Storm</v>
      </c>
      <c r="K31" s="100" t="str">
        <f t="shared" si="3"/>
        <v/>
      </c>
      <c r="L31" s="12">
        <f>VLOOKUP($A31,Engine!$D:$Z,22,FALSE)</f>
        <v>90</v>
      </c>
      <c r="M31" s="101"/>
      <c r="N31" s="12">
        <f>VLOOKUP($A31,Engine!$D:$Z,23,FALSE)</f>
        <v>2274</v>
      </c>
      <c r="O31" s="107"/>
    </row>
    <row r="32" spans="1:15" s="89" customFormat="1" x14ac:dyDescent="0.3">
      <c r="A32" s="96">
        <f t="shared" si="5"/>
        <v>18</v>
      </c>
      <c r="B32" s="12">
        <f t="shared" si="4"/>
        <v>18</v>
      </c>
      <c r="C32" s="97" t="str">
        <f>VLOOKUP($A32,Engine!$D:$H,2,FALSE)</f>
        <v>q</v>
      </c>
      <c r="D32" s="98">
        <f>VLOOKUP($A32,Engine!$D:$H,3,FALSE)</f>
        <v>1</v>
      </c>
      <c r="E32" s="12" t="str">
        <f>VLOOKUP($A32,Engine!$D:$H,5,FALSE)</f>
        <v>gdadisho</v>
      </c>
      <c r="F32" s="99"/>
      <c r="G32" s="13">
        <f>L32-VLOOKUP($A32,Engine!$D:$S,15,FALSE)</f>
        <v>1</v>
      </c>
      <c r="H32" s="13">
        <f>N32-VLOOKUP($A32,Engine!$D:$S,16,FALSE)</f>
        <v>24</v>
      </c>
      <c r="I32" s="14"/>
      <c r="J32" s="13" t="str">
        <f>IF(VLOOKUP(E32,Engine!H:Q,10,FALSE)=0,"",VLOOKUP(E32,Engine!H:Q,10,FALSE))</f>
        <v>Storm</v>
      </c>
      <c r="K32" s="100" t="str">
        <f t="shared" si="3"/>
        <v/>
      </c>
      <c r="L32" s="12">
        <f>VLOOKUP($A32,Engine!$D:$Z,22,FALSE)</f>
        <v>90</v>
      </c>
      <c r="M32" s="101"/>
      <c r="N32" s="12">
        <f>VLOOKUP($A32,Engine!$D:$Z,23,FALSE)</f>
        <v>2211</v>
      </c>
      <c r="O32" s="107"/>
    </row>
    <row r="33" spans="1:15" s="89" customFormat="1" x14ac:dyDescent="0.3">
      <c r="A33" s="96">
        <f t="shared" si="5"/>
        <v>19</v>
      </c>
      <c r="B33" s="12">
        <f t="shared" si="4"/>
        <v>19</v>
      </c>
      <c r="C33" s="97" t="str">
        <f>VLOOKUP($A33,Engine!$D:$H,2,FALSE)</f>
        <v>q</v>
      </c>
      <c r="D33" s="98">
        <f>VLOOKUP($A33,Engine!$D:$H,3,FALSE)</f>
        <v>7</v>
      </c>
      <c r="E33" s="12" t="str">
        <f>VLOOKUP($A33,Engine!$D:$H,5,FALSE)</f>
        <v>blakey94</v>
      </c>
      <c r="F33" s="99"/>
      <c r="G33" s="13">
        <f>L33-VLOOKUP($A33,Engine!$D:$S,15,FALSE)</f>
        <v>0</v>
      </c>
      <c r="H33" s="13">
        <f>N33-VLOOKUP($A33,Engine!$D:$S,16,FALSE)</f>
        <v>16</v>
      </c>
      <c r="I33" s="14"/>
      <c r="J33" s="13" t="str">
        <f>IF(VLOOKUP(E33,Engine!H:Q,10,FALSE)=0,"",VLOOKUP(E33,Engine!H:Q,10,FALSE))</f>
        <v>Storm</v>
      </c>
      <c r="K33" s="100" t="str">
        <f t="shared" si="3"/>
        <v/>
      </c>
      <c r="L33" s="12">
        <f>VLOOKUP($A33,Engine!$D:$Z,22,FALSE)</f>
        <v>90</v>
      </c>
      <c r="M33" s="101"/>
      <c r="N33" s="12">
        <f>VLOOKUP($A33,Engine!$D:$Z,23,FALSE)</f>
        <v>2210</v>
      </c>
      <c r="O33" s="107"/>
    </row>
    <row r="34" spans="1:15" s="89" customFormat="1" x14ac:dyDescent="0.3">
      <c r="A34" s="96">
        <f t="shared" si="5"/>
        <v>20</v>
      </c>
      <c r="B34" s="12">
        <f t="shared" si="4"/>
        <v>20</v>
      </c>
      <c r="C34" s="97" t="str">
        <f>VLOOKUP($A34,Engine!$D:$H,2,FALSE)</f>
        <v>q</v>
      </c>
      <c r="D34" s="98">
        <f>VLOOKUP($A34,Engine!$D:$H,3,FALSE)</f>
        <v>1</v>
      </c>
      <c r="E34" s="12" t="str">
        <f>VLOOKUP($A34,Engine!$D:$H,5,FALSE)</f>
        <v>MJP181</v>
      </c>
      <c r="F34" s="99"/>
      <c r="G34" s="13">
        <f>L34-VLOOKUP($A34,Engine!$D:$S,15,FALSE)</f>
        <v>1</v>
      </c>
      <c r="H34" s="13">
        <f>N34-VLOOKUP($A34,Engine!$D:$S,16,FALSE)</f>
        <v>24</v>
      </c>
      <c r="I34" s="14"/>
      <c r="J34" s="13" t="str">
        <f>IF(VLOOKUP(E34,Engine!H:Q,10,FALSE)=0,"",VLOOKUP(E34,Engine!H:Q,10,FALSE))</f>
        <v>Storm</v>
      </c>
      <c r="K34" s="100" t="str">
        <f t="shared" si="3"/>
        <v/>
      </c>
      <c r="L34" s="12">
        <f>VLOOKUP($A34,Engine!$D:$Z,22,FALSE)</f>
        <v>89</v>
      </c>
      <c r="M34" s="101"/>
      <c r="N34" s="12">
        <f>VLOOKUP($A34,Engine!$D:$Z,23,FALSE)</f>
        <v>2331</v>
      </c>
      <c r="O34" s="107"/>
    </row>
    <row r="35" spans="1:15" s="89" customFormat="1" x14ac:dyDescent="0.3">
      <c r="A35" s="96">
        <f t="shared" si="5"/>
        <v>21</v>
      </c>
      <c r="B35" s="12">
        <f t="shared" si="4"/>
        <v>21</v>
      </c>
      <c r="C35" s="97" t="str">
        <f>VLOOKUP($A35,Engine!$D:$H,2,FALSE)</f>
        <v>p</v>
      </c>
      <c r="D35" s="98">
        <f>VLOOKUP($A35,Engine!$D:$H,3,FALSE)</f>
        <v>1</v>
      </c>
      <c r="E35" s="12" t="str">
        <f>VLOOKUP($A35,Engine!$D:$H,5,FALSE)</f>
        <v>Pablo</v>
      </c>
      <c r="F35" s="99"/>
      <c r="G35" s="13">
        <f>L35-VLOOKUP($A35,Engine!$D:$S,15,FALSE)</f>
        <v>1</v>
      </c>
      <c r="H35" s="13">
        <f>N35-VLOOKUP($A35,Engine!$D:$S,16,FALSE)</f>
        <v>24</v>
      </c>
      <c r="I35" s="14"/>
      <c r="J35" s="13" t="str">
        <f>IF(VLOOKUP(E35,Engine!H:Q,10,FALSE)=0,"",VLOOKUP(E35,Engine!H:Q,10,FALSE))</f>
        <v>Storm</v>
      </c>
      <c r="K35" s="100" t="str">
        <f t="shared" si="3"/>
        <v/>
      </c>
      <c r="L35" s="12">
        <f>VLOOKUP($A35,Engine!$D:$Z,22,FALSE)</f>
        <v>88</v>
      </c>
      <c r="M35" s="101"/>
      <c r="N35" s="12">
        <f>VLOOKUP($A35,Engine!$D:$Z,23,FALSE)</f>
        <v>2271</v>
      </c>
      <c r="O35" s="107"/>
    </row>
    <row r="36" spans="1:15" s="89" customFormat="1" x14ac:dyDescent="0.3">
      <c r="A36" s="96">
        <f t="shared" si="5"/>
        <v>22</v>
      </c>
      <c r="B36" s="12">
        <f t="shared" si="4"/>
        <v>22</v>
      </c>
      <c r="C36" s="97" t="str">
        <f>VLOOKUP($A36,Engine!$D:$H,2,FALSE)</f>
        <v>p</v>
      </c>
      <c r="D36" s="98">
        <f>VLOOKUP($A36,Engine!$D:$H,3,FALSE)</f>
        <v>1</v>
      </c>
      <c r="E36" s="12" t="str">
        <f>VLOOKUP($A36,Engine!$D:$H,5,FALSE)</f>
        <v>Big Papi Productions</v>
      </c>
      <c r="F36" s="99"/>
      <c r="G36" s="13">
        <f>L36-VLOOKUP($A36,Engine!$D:$S,15,FALSE)</f>
        <v>1</v>
      </c>
      <c r="H36" s="13">
        <f>N36-VLOOKUP($A36,Engine!$D:$S,16,FALSE)</f>
        <v>24</v>
      </c>
      <c r="I36" s="14"/>
      <c r="J36" s="13" t="str">
        <f>IF(VLOOKUP(E36,Engine!H:Q,10,FALSE)=0,"",VLOOKUP(E36,Engine!H:Q,10,FALSE))</f>
        <v>Storm</v>
      </c>
      <c r="K36" s="100" t="str">
        <f t="shared" si="3"/>
        <v/>
      </c>
      <c r="L36" s="12">
        <f>VLOOKUP($A36,Engine!$D:$Z,22,FALSE)</f>
        <v>88</v>
      </c>
      <c r="M36" s="101"/>
      <c r="N36" s="12">
        <f>VLOOKUP($A36,Engine!$D:$Z,23,FALSE)</f>
        <v>2263</v>
      </c>
      <c r="O36" s="107"/>
    </row>
    <row r="37" spans="1:15" s="89" customFormat="1" x14ac:dyDescent="0.3">
      <c r="A37" s="96">
        <f t="shared" si="5"/>
        <v>23</v>
      </c>
      <c r="B37" s="12">
        <f t="shared" si="4"/>
        <v>23</v>
      </c>
      <c r="C37" s="97" t="str">
        <f>VLOOKUP($A37,Engine!$D:$H,2,FALSE)</f>
        <v>p</v>
      </c>
      <c r="D37" s="98">
        <f>VLOOKUP($A37,Engine!$D:$H,3,FALSE)</f>
        <v>1</v>
      </c>
      <c r="E37" s="12" t="str">
        <f>VLOOKUP($A37,Engine!$D:$H,5,FALSE)</f>
        <v>T-Bone</v>
      </c>
      <c r="F37" s="99"/>
      <c r="G37" s="13">
        <f>L37-VLOOKUP($A37,Engine!$D:$S,15,FALSE)</f>
        <v>1</v>
      </c>
      <c r="H37" s="13">
        <f>N37-VLOOKUP($A37,Engine!$D:$S,16,FALSE)</f>
        <v>24</v>
      </c>
      <c r="I37" s="14"/>
      <c r="J37" s="13" t="str">
        <f>IF(VLOOKUP(E37,Engine!H:Q,10,FALSE)=0,"",VLOOKUP(E37,Engine!H:Q,10,FALSE))</f>
        <v>Storm</v>
      </c>
      <c r="K37" s="100" t="str">
        <f t="shared" si="3"/>
        <v/>
      </c>
      <c r="L37" s="12">
        <f>VLOOKUP($A37,Engine!$D:$Z,22,FALSE)</f>
        <v>88</v>
      </c>
      <c r="M37" s="101"/>
      <c r="N37" s="12">
        <f>VLOOKUP($A37,Engine!$D:$Z,23,FALSE)</f>
        <v>2249</v>
      </c>
      <c r="O37" s="107"/>
    </row>
    <row r="38" spans="1:15" s="89" customFormat="1" x14ac:dyDescent="0.3">
      <c r="A38" s="96">
        <f t="shared" si="5"/>
        <v>24</v>
      </c>
      <c r="B38" s="12">
        <f t="shared" si="4"/>
        <v>24</v>
      </c>
      <c r="C38" s="97" t="str">
        <f>VLOOKUP($A38,Engine!$D:$H,2,FALSE)</f>
        <v>p</v>
      </c>
      <c r="D38" s="98">
        <f>VLOOKUP($A38,Engine!$D:$H,3,FALSE)</f>
        <v>3</v>
      </c>
      <c r="E38" s="12" t="str">
        <f>VLOOKUP($A38,Engine!$D:$H,5,FALSE)</f>
        <v>TheZipZipMan</v>
      </c>
      <c r="F38" s="99"/>
      <c r="G38" s="13">
        <f>L38-VLOOKUP($A38,Engine!$D:$S,15,FALSE)</f>
        <v>1</v>
      </c>
      <c r="H38" s="13">
        <f>N38-VLOOKUP($A38,Engine!$D:$S,16,FALSE)</f>
        <v>24</v>
      </c>
      <c r="I38" s="14"/>
      <c r="J38" s="13" t="str">
        <f>IF(VLOOKUP(E38,Engine!H:Q,10,FALSE)=0,"",VLOOKUP(E38,Engine!H:Q,10,FALSE))</f>
        <v>Storm</v>
      </c>
      <c r="K38" s="100" t="str">
        <f t="shared" si="3"/>
        <v/>
      </c>
      <c r="L38" s="12">
        <f>VLOOKUP($A38,Engine!$D:$Z,22,FALSE)</f>
        <v>87</v>
      </c>
      <c r="M38" s="101"/>
      <c r="N38" s="12">
        <f>VLOOKUP($A38,Engine!$D:$Z,23,FALSE)</f>
        <v>2334</v>
      </c>
      <c r="O38" s="107"/>
    </row>
    <row r="39" spans="1:15" s="89" customFormat="1" x14ac:dyDescent="0.3">
      <c r="A39" s="96">
        <f t="shared" si="5"/>
        <v>25</v>
      </c>
      <c r="B39" s="12">
        <f t="shared" si="4"/>
        <v>25</v>
      </c>
      <c r="C39" s="97" t="str">
        <f>VLOOKUP($A39,Engine!$D:$H,2,FALSE)</f>
        <v>p</v>
      </c>
      <c r="D39" s="98">
        <f>VLOOKUP($A39,Engine!$D:$H,3,FALSE)</f>
        <v>10</v>
      </c>
      <c r="E39" s="12" t="str">
        <f>VLOOKUP($A39,Engine!$D:$H,5,FALSE)</f>
        <v>plugger</v>
      </c>
      <c r="F39" s="99"/>
      <c r="G39" s="13">
        <f>L39-VLOOKUP($A39,Engine!$D:$S,15,FALSE)</f>
        <v>3</v>
      </c>
      <c r="H39" s="13">
        <f>N39-VLOOKUP($A39,Engine!$D:$S,16,FALSE)</f>
        <v>24</v>
      </c>
      <c r="I39" s="14"/>
      <c r="J39" s="13" t="str">
        <f>IF(VLOOKUP(E39,Engine!H:Q,10,FALSE)=0,"",VLOOKUP(E39,Engine!H:Q,10,FALSE))</f>
        <v>Roosters</v>
      </c>
      <c r="K39" s="100" t="str">
        <f t="shared" si="3"/>
        <v>ü</v>
      </c>
      <c r="L39" s="12">
        <f>VLOOKUP($A39,Engine!$D:$Z,22,FALSE)</f>
        <v>87</v>
      </c>
      <c r="M39" s="101"/>
      <c r="N39" s="12">
        <f>VLOOKUP($A39,Engine!$D:$Z,23,FALSE)</f>
        <v>2328</v>
      </c>
      <c r="O39" s="107"/>
    </row>
    <row r="40" spans="1:15" s="89" customFormat="1" x14ac:dyDescent="0.3">
      <c r="A40" s="96">
        <f t="shared" si="5"/>
        <v>26</v>
      </c>
      <c r="B40" s="12">
        <f t="shared" si="4"/>
        <v>26</v>
      </c>
      <c r="C40" s="97" t="str">
        <f>VLOOKUP($A40,Engine!$D:$H,2,FALSE)</f>
        <v>p</v>
      </c>
      <c r="D40" s="98">
        <f>VLOOKUP($A40,Engine!$D:$H,3,FALSE)</f>
        <v>2</v>
      </c>
      <c r="E40" s="12" t="str">
        <f>VLOOKUP($A40,Engine!$D:$H,5,FALSE)</f>
        <v>AaronC</v>
      </c>
      <c r="F40" s="99"/>
      <c r="G40" s="13">
        <f>L40-VLOOKUP($A40,Engine!$D:$S,15,FALSE)</f>
        <v>1</v>
      </c>
      <c r="H40" s="13">
        <f>N40-VLOOKUP($A40,Engine!$D:$S,16,FALSE)</f>
        <v>24</v>
      </c>
      <c r="I40" s="14"/>
      <c r="J40" s="13" t="str">
        <f>IF(VLOOKUP(E40,Engine!H:Q,10,FALSE)=0,"",VLOOKUP(E40,Engine!H:Q,10,FALSE))</f>
        <v>Storm</v>
      </c>
      <c r="K40" s="100" t="str">
        <f t="shared" si="3"/>
        <v/>
      </c>
      <c r="L40" s="12">
        <f>VLOOKUP($A40,Engine!$D:$Z,22,FALSE)</f>
        <v>87</v>
      </c>
      <c r="M40" s="101"/>
      <c r="N40" s="12">
        <f>VLOOKUP($A40,Engine!$D:$Z,23,FALSE)</f>
        <v>2325</v>
      </c>
      <c r="O40" s="107"/>
    </row>
    <row r="41" spans="1:15" s="89" customFormat="1" x14ac:dyDescent="0.3">
      <c r="A41" s="96">
        <f t="shared" si="5"/>
        <v>27</v>
      </c>
      <c r="B41" s="12">
        <f t="shared" si="4"/>
        <v>27</v>
      </c>
      <c r="C41" s="97" t="str">
        <f>VLOOKUP($A41,Engine!$D:$H,2,FALSE)</f>
        <v>q</v>
      </c>
      <c r="D41" s="98">
        <f>VLOOKUP($A41,Engine!$D:$H,3,FALSE)</f>
        <v>6</v>
      </c>
      <c r="E41" s="12" t="str">
        <f>VLOOKUP($A41,Engine!$D:$H,5,FALSE)</f>
        <v>Panthers29</v>
      </c>
      <c r="F41" s="99"/>
      <c r="G41" s="13">
        <f>L41-VLOOKUP($A41,Engine!$D:$S,15,FALSE)</f>
        <v>0</v>
      </c>
      <c r="H41" s="13">
        <f>N41-VLOOKUP($A41,Engine!$D:$S,16,FALSE)</f>
        <v>16</v>
      </c>
      <c r="I41" s="14"/>
      <c r="J41" s="13" t="str">
        <f>IF(VLOOKUP(E41,Engine!H:Q,10,FALSE)=0,"",VLOOKUP(E41,Engine!H:Q,10,FALSE))</f>
        <v>Sea Eagles</v>
      </c>
      <c r="K41" s="100" t="str">
        <f t="shared" si="3"/>
        <v/>
      </c>
      <c r="L41" s="12">
        <f>VLOOKUP($A41,Engine!$D:$Z,22,FALSE)</f>
        <v>87</v>
      </c>
      <c r="M41" s="101"/>
      <c r="N41" s="12">
        <f>VLOOKUP($A41,Engine!$D:$Z,23,FALSE)</f>
        <v>2285</v>
      </c>
      <c r="O41" s="107"/>
    </row>
    <row r="42" spans="1:15" s="89" customFormat="1" x14ac:dyDescent="0.3">
      <c r="A42" s="96">
        <f t="shared" si="5"/>
        <v>28</v>
      </c>
      <c r="B42" s="12">
        <f t="shared" si="4"/>
        <v>28</v>
      </c>
      <c r="C42" s="97" t="str">
        <f>VLOOKUP($A42,Engine!$D:$H,2,FALSE)</f>
        <v>p</v>
      </c>
      <c r="D42" s="98">
        <f>VLOOKUP($A42,Engine!$D:$H,3,FALSE)</f>
        <v>1</v>
      </c>
      <c r="E42" s="12" t="str">
        <f>VLOOKUP($A42,Engine!$D:$H,5,FALSE)</f>
        <v>Adel Messih</v>
      </c>
      <c r="F42" s="99"/>
      <c r="G42" s="13">
        <f>L42-VLOOKUP($A42,Engine!$D:$S,15,FALSE)</f>
        <v>1</v>
      </c>
      <c r="H42" s="13">
        <f>N42-VLOOKUP($A42,Engine!$D:$S,16,FALSE)</f>
        <v>24</v>
      </c>
      <c r="I42" s="14"/>
      <c r="J42" s="13" t="str">
        <f>IF(VLOOKUP(E42,Engine!H:Q,10,FALSE)=0,"",VLOOKUP(E42,Engine!H:Q,10,FALSE))</f>
        <v>Rabbitohs</v>
      </c>
      <c r="K42" s="100" t="str">
        <f t="shared" si="3"/>
        <v/>
      </c>
      <c r="L42" s="12">
        <f>VLOOKUP($A42,Engine!$D:$Z,22,FALSE)</f>
        <v>87</v>
      </c>
      <c r="M42" s="101"/>
      <c r="N42" s="12">
        <f>VLOOKUP($A42,Engine!$D:$Z,23,FALSE)</f>
        <v>2261</v>
      </c>
      <c r="O42" s="107"/>
    </row>
    <row r="43" spans="1:15" s="89" customFormat="1" x14ac:dyDescent="0.3">
      <c r="A43" s="96">
        <f t="shared" si="5"/>
        <v>29</v>
      </c>
      <c r="B43" s="12">
        <f t="shared" si="4"/>
        <v>29</v>
      </c>
      <c r="C43" s="97" t="str">
        <f>VLOOKUP($A43,Engine!$D:$H,2,FALSE)</f>
        <v>q</v>
      </c>
      <c r="D43" s="98">
        <f>VLOOKUP($A43,Engine!$D:$H,3,FALSE)</f>
        <v>4</v>
      </c>
      <c r="E43" s="12" t="str">
        <f>VLOOKUP($A43,Engine!$D:$H,5,FALSE)</f>
        <v>Gerehu3B</v>
      </c>
      <c r="F43" s="99"/>
      <c r="G43" s="13">
        <f>L43-VLOOKUP($A43,Engine!$D:$S,15,FALSE)</f>
        <v>0</v>
      </c>
      <c r="H43" s="13">
        <f>N43-VLOOKUP($A43,Engine!$D:$S,16,FALSE)</f>
        <v>16</v>
      </c>
      <c r="I43" s="14"/>
      <c r="J43" s="13" t="str">
        <f>IF(VLOOKUP(E43,Engine!H:Q,10,FALSE)=0,"",VLOOKUP(E43,Engine!H:Q,10,FALSE))</f>
        <v>Storm</v>
      </c>
      <c r="K43" s="100" t="str">
        <f t="shared" si="3"/>
        <v/>
      </c>
      <c r="L43" s="12">
        <f>VLOOKUP($A43,Engine!$D:$Z,22,FALSE)</f>
        <v>87</v>
      </c>
      <c r="M43" s="101"/>
      <c r="N43" s="12">
        <f>VLOOKUP($A43,Engine!$D:$Z,23,FALSE)</f>
        <v>2235</v>
      </c>
      <c r="O43" s="107"/>
    </row>
    <row r="44" spans="1:15" s="89" customFormat="1" x14ac:dyDescent="0.3">
      <c r="A44" s="96">
        <f t="shared" si="5"/>
        <v>30</v>
      </c>
      <c r="B44" s="12">
        <f t="shared" si="4"/>
        <v>30</v>
      </c>
      <c r="C44" s="97" t="str">
        <f>VLOOKUP($A44,Engine!$D:$H,2,FALSE)</f>
        <v>q</v>
      </c>
      <c r="D44" s="98">
        <f>VLOOKUP($A44,Engine!$D:$H,3,FALSE)</f>
        <v>4</v>
      </c>
      <c r="E44" s="12" t="str">
        <f>VLOOKUP($A44,Engine!$D:$H,5,FALSE)</f>
        <v>GeorgeTheDragon</v>
      </c>
      <c r="F44" s="99"/>
      <c r="G44" s="13">
        <f>L44-VLOOKUP($A44,Engine!$D:$S,15,FALSE)</f>
        <v>0</v>
      </c>
      <c r="H44" s="13">
        <f>N44-VLOOKUP($A44,Engine!$D:$S,16,FALSE)</f>
        <v>16</v>
      </c>
      <c r="I44" s="14"/>
      <c r="J44" s="13" t="str">
        <f>IF(VLOOKUP(E44,Engine!H:Q,10,FALSE)=0,"",VLOOKUP(E44,Engine!H:Q,10,FALSE))</f>
        <v>Storm</v>
      </c>
      <c r="K44" s="100" t="str">
        <f t="shared" si="3"/>
        <v/>
      </c>
      <c r="L44" s="12">
        <f>VLOOKUP($A44,Engine!$D:$Z,22,FALSE)</f>
        <v>87</v>
      </c>
      <c r="M44" s="101"/>
      <c r="N44" s="12">
        <f>VLOOKUP($A44,Engine!$D:$Z,23,FALSE)</f>
        <v>2179</v>
      </c>
      <c r="O44" s="107"/>
    </row>
    <row r="45" spans="1:15" s="89" customFormat="1" x14ac:dyDescent="0.3">
      <c r="A45" s="96">
        <f t="shared" si="5"/>
        <v>31</v>
      </c>
      <c r="B45" s="12">
        <f t="shared" si="4"/>
        <v>31</v>
      </c>
      <c r="C45" s="97" t="str">
        <f>VLOOKUP($A45,Engine!$D:$H,2,FALSE)</f>
        <v>p</v>
      </c>
      <c r="D45" s="98">
        <f>VLOOKUP($A45,Engine!$D:$H,3,FALSE)</f>
        <v>1</v>
      </c>
      <c r="E45" s="12" t="str">
        <f>VLOOKUP($A45,Engine!$D:$H,5,FALSE)</f>
        <v>Wiley C</v>
      </c>
      <c r="F45" s="99"/>
      <c r="G45" s="13">
        <f>L45-VLOOKUP($A45,Engine!$D:$S,15,FALSE)</f>
        <v>1</v>
      </c>
      <c r="H45" s="13">
        <f>N45-VLOOKUP($A45,Engine!$D:$S,16,FALSE)</f>
        <v>24</v>
      </c>
      <c r="I45" s="14"/>
      <c r="J45" s="13" t="str">
        <f>IF(VLOOKUP(E45,Engine!H:Q,10,FALSE)=0,"",VLOOKUP(E45,Engine!H:Q,10,FALSE))</f>
        <v>Storm</v>
      </c>
      <c r="K45" s="100" t="str">
        <f t="shared" si="3"/>
        <v/>
      </c>
      <c r="L45" s="12">
        <f>VLOOKUP($A45,Engine!$D:$Z,22,FALSE)</f>
        <v>86</v>
      </c>
      <c r="M45" s="101"/>
      <c r="N45" s="12">
        <f>VLOOKUP($A45,Engine!$D:$Z,23,FALSE)</f>
        <v>2294</v>
      </c>
      <c r="O45" s="107"/>
    </row>
    <row r="46" spans="1:15" s="89" customFormat="1" x14ac:dyDescent="0.3">
      <c r="A46" s="96">
        <f t="shared" si="5"/>
        <v>32</v>
      </c>
      <c r="B46" s="12">
        <f t="shared" si="4"/>
        <v>32</v>
      </c>
      <c r="C46" s="97" t="str">
        <f>VLOOKUP($A46,Engine!$D:$H,2,FALSE)</f>
        <v>p</v>
      </c>
      <c r="D46" s="98">
        <f>VLOOKUP($A46,Engine!$D:$H,3,FALSE)</f>
        <v>1</v>
      </c>
      <c r="E46" s="12" t="str">
        <f>VLOOKUP($A46,Engine!$D:$H,5,FALSE)</f>
        <v>Kane G</v>
      </c>
      <c r="F46" s="99"/>
      <c r="G46" s="13">
        <f>L46-VLOOKUP($A46,Engine!$D:$S,15,FALSE)</f>
        <v>1</v>
      </c>
      <c r="H46" s="13">
        <f>N46-VLOOKUP($A46,Engine!$D:$S,16,FALSE)</f>
        <v>24</v>
      </c>
      <c r="I46" s="14"/>
      <c r="J46" s="13" t="str">
        <f>IF(VLOOKUP(E46,Engine!H:Q,10,FALSE)=0,"",VLOOKUP(E46,Engine!H:Q,10,FALSE))</f>
        <v>Storm</v>
      </c>
      <c r="K46" s="100" t="str">
        <f t="shared" si="3"/>
        <v/>
      </c>
      <c r="L46" s="12">
        <f>VLOOKUP($A46,Engine!$D:$Z,22,FALSE)</f>
        <v>86</v>
      </c>
      <c r="M46" s="101"/>
      <c r="N46" s="12">
        <f>VLOOKUP($A46,Engine!$D:$Z,23,FALSE)</f>
        <v>2290</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HIeQJ+gNqwJlXAhD7xLAcM1CQD1xITMtCpHi9ZAsO0GH2k4KT1s0G884zAfLFthuP1E6R6hVaZkN57j/bPPWIQ==" saltValue="h6kPLql5UAxr2og1rcAHC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3</v>
      </c>
      <c r="C2" s="162">
        <f>IF(H2="ZZZZZZ Suspend","",R2+(S2/100000)+(G2/1000000000))</f>
        <v>92.023360092999994</v>
      </c>
      <c r="D2">
        <f t="shared" ref="D2:D33" si="1">IF(H2="ZZZZZZ Suspend","",RANK(AA2,AA:AA))</f>
        <v>3</v>
      </c>
      <c r="E2" s="4" t="str">
        <f>IF(H2="ZZZZZZ Suspend","",IF(D2&lt;B2,AD$3,IF(D2&gt;B2,AD$4,AD$5)))</f>
        <v>u</v>
      </c>
      <c r="F2" t="str">
        <f t="shared" ref="F2" si="2">IF(H2="ZZZZZZ Suspend","",IF(D2&gt;B2,D2-B2,IF(D2&lt;B2,B2-D2,"")))</f>
        <v/>
      </c>
      <c r="G2">
        <v>93</v>
      </c>
      <c r="H2" t="str">
        <f>Data!A3</f>
        <v>786Om</v>
      </c>
      <c r="I2" s="2" t="str">
        <f>Data!C3</f>
        <v>Roosters</v>
      </c>
      <c r="J2" s="2" t="str">
        <f>Data!D3</f>
        <v>Sea Eagles</v>
      </c>
      <c r="K2" s="2" t="str">
        <f>Data!E3</f>
        <v>Rabbitohs</v>
      </c>
      <c r="L2" s="2" t="str">
        <f>IF(Data!$S$3&lt;Engine!L$1,0,Data!F3)</f>
        <v>Storm</v>
      </c>
      <c r="M2" s="2" t="str">
        <f>IF(Data!$S$3&lt;Engine!M$1,0,Data!G3)</f>
        <v>Knights</v>
      </c>
      <c r="N2" s="2" t="str">
        <f>IF(Data!$S$3&lt;Engine!N$1,0,Data!H3)</f>
        <v>Panthers</v>
      </c>
      <c r="O2" s="2" t="str">
        <f>IF(Data!$S$3&lt;Engine!O$1,0,Data!I3)</f>
        <v>Cowboys</v>
      </c>
      <c r="P2" s="2" t="str">
        <f>IF(Data!$S$3&lt;Engine!P$1,0,Data!J3)</f>
        <v>Eels</v>
      </c>
      <c r="Q2" s="17" t="str">
        <f>IF(Data!B3=1,Data!K3,"No Tips")</f>
        <v>Storm</v>
      </c>
      <c r="R2" s="2">
        <f>Data!L3</f>
        <v>92</v>
      </c>
      <c r="S2" s="2">
        <f>Data!M3</f>
        <v>2336</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0</v>
      </c>
      <c r="V2" s="15">
        <f>IF(I2="","",IF(T2=Data!S$3,2,0))</f>
        <v>0</v>
      </c>
      <c r="W2" s="15">
        <f t="shared" ref="W2" si="3">IF(I2="",AD$2,SUM(T2:V2))</f>
        <v>1</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24</v>
      </c>
      <c r="Y2">
        <f t="shared" ref="Y2:Y15" si="4">IF(H2="ZZZZZZ Suspend","",R2+W2)</f>
        <v>93</v>
      </c>
      <c r="Z2">
        <f t="shared" ref="Z2" si="5">IF(H2="ZZZZZZ Suspend","",S2+X2)</f>
        <v>2360</v>
      </c>
      <c r="AA2" s="162">
        <f>IF(H2="ZZZZZZ Suspend","",Y2+(Z2/100000)+(G2/1000000000))</f>
        <v>93.023600092999999</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24</v>
      </c>
      <c r="AD2">
        <f>MIN(AB:AB)</f>
        <v>0</v>
      </c>
      <c r="AE2">
        <f>MIN(AC:AC)</f>
        <v>16</v>
      </c>
      <c r="AF2">
        <f>IF(I2="","",IF(Q2="",0,IF(AND(Q2&gt;0,COUNTIF('Stats Calculator'!$T$24:$AA$24,Q2)=1),HLOOKUP(Q2,'Stats Calculator'!$T$24:$AA$27,4,FALSE),IF(AND(Q2&gt;0,COUNTIF('Stats Calculator'!$T$25:$AA$25,Q2)=1),HLOOKUP(Q2,'Stats Calculator'!$T$25:$AA$27,3,FALSE)))))</f>
        <v>4</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28</v>
      </c>
      <c r="C3" s="162">
        <f t="shared" ref="C3:C66" si="8">IF(H3="ZZZZZZ Suspend","",R3+(S3/100000)+(G3/1000000000))</f>
        <v>86.023010091999993</v>
      </c>
      <c r="D3">
        <f t="shared" si="1"/>
        <v>26</v>
      </c>
      <c r="E3" s="4" t="str">
        <f t="shared" ref="E3:E66" si="9">IF(H3="ZZZZZZ Suspend","",IF(D3&lt;B3,AD$3,IF(D3&gt;B3,AD$4,AD$5)))</f>
        <v>p</v>
      </c>
      <c r="F3">
        <f t="shared" ref="F3:F66" si="10">IF(H3="ZZZZZZ Suspend","",IF(D3&gt;B3,D3-B3,IF(D3&lt;B3,B3-D3,"")))</f>
        <v>2</v>
      </c>
      <c r="G3">
        <v>92</v>
      </c>
      <c r="H3" t="str">
        <f>Data!A4</f>
        <v>AaronC</v>
      </c>
      <c r="I3" s="2" t="str">
        <f>Data!C4</f>
        <v>Roosters</v>
      </c>
      <c r="J3" s="2" t="str">
        <f>Data!D4</f>
        <v>Warriors</v>
      </c>
      <c r="K3" s="2" t="str">
        <f>Data!E4</f>
        <v>Rabbitohs</v>
      </c>
      <c r="L3" s="2" t="str">
        <f>IF(Data!$S$3&lt;Engine!L$1,0,Data!F4)</f>
        <v>Storm</v>
      </c>
      <c r="M3" s="2" t="str">
        <f>IF(Data!$S$3&lt;Engine!M$1,0,Data!G4)</f>
        <v>Knights</v>
      </c>
      <c r="N3" s="2" t="str">
        <f>IF(Data!$S$3&lt;Engine!N$1,0,Data!H4)</f>
        <v>Panthers</v>
      </c>
      <c r="O3" s="2" t="str">
        <f>IF(Data!$S$3&lt;Engine!O$1,0,Data!I4)</f>
        <v>Cowboys</v>
      </c>
      <c r="P3" s="2" t="str">
        <f>IF(Data!$S$3&lt;Engine!P$1,0,Data!J4)</f>
        <v>Eels</v>
      </c>
      <c r="Q3" s="17" t="str">
        <f>IF(Data!B4=1,Data!K4,"No Tips")</f>
        <v>Storm</v>
      </c>
      <c r="R3" s="2">
        <f>Data!L4</f>
        <v>86</v>
      </c>
      <c r="S3" s="2">
        <f>Data!M4</f>
        <v>2301</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Y3">
        <f t="shared" si="4"/>
        <v>87</v>
      </c>
      <c r="Z3">
        <f t="shared" ref="Z3:Z66" si="12">IF(H3="ZZZZZZ Suspend","",S3+X3)</f>
        <v>2325</v>
      </c>
      <c r="AA3" s="162">
        <f t="shared" ref="AA3:AA66" si="13">IF(H3="ZZZZZZ Suspend","",Y3+(Z3/100000)+(G3/1000000000))</f>
        <v>87.023250091999998</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AD3" s="4"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29</v>
      </c>
      <c r="C4" s="162">
        <f t="shared" si="8"/>
        <v>86.022370090999999</v>
      </c>
      <c r="D4">
        <f t="shared" si="1"/>
        <v>28</v>
      </c>
      <c r="E4" s="4" t="str">
        <f t="shared" si="9"/>
        <v>p</v>
      </c>
      <c r="F4">
        <f t="shared" si="10"/>
        <v>1</v>
      </c>
      <c r="G4">
        <v>91</v>
      </c>
      <c r="H4" t="str">
        <f>Data!A5</f>
        <v>Adel Messih</v>
      </c>
      <c r="I4" s="2" t="str">
        <f>Data!C5</f>
        <v>Roosters</v>
      </c>
      <c r="J4" s="2" t="str">
        <f>Data!D5</f>
        <v>Sea Eagles</v>
      </c>
      <c r="K4" s="2" t="str">
        <f>Data!E5</f>
        <v>Rabbitohs</v>
      </c>
      <c r="L4" s="2" t="str">
        <f>IF(Data!$S$3&lt;Engine!L$1,0,Data!F5)</f>
        <v>Storm</v>
      </c>
      <c r="M4" s="2" t="str">
        <f>IF(Data!$S$3&lt;Engine!M$1,0,Data!G5)</f>
        <v>Wests Tigers</v>
      </c>
      <c r="N4" s="2" t="str">
        <f>IF(Data!$S$3&lt;Engine!N$1,0,Data!H5)</f>
        <v>Panthers</v>
      </c>
      <c r="O4" s="2" t="str">
        <f>IF(Data!$S$3&lt;Engine!O$1,0,Data!I5)</f>
        <v>Titans</v>
      </c>
      <c r="P4" s="2" t="str">
        <f>IF(Data!$S$3&lt;Engine!P$1,0,Data!J5)</f>
        <v>Eels</v>
      </c>
      <c r="Q4" s="17" t="str">
        <f>IF(Data!B5=1,Data!K5,"No Tips")</f>
        <v>Rabbitohs</v>
      </c>
      <c r="R4" s="2">
        <f>Data!L5</f>
        <v>86</v>
      </c>
      <c r="S4" s="2">
        <f>Data!M5</f>
        <v>2237</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Y4">
        <f t="shared" si="4"/>
        <v>87</v>
      </c>
      <c r="Z4">
        <f t="shared" si="12"/>
        <v>2261</v>
      </c>
      <c r="AA4" s="162">
        <f t="shared" si="13"/>
        <v>87.022610091000004</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AD4" s="4"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37</v>
      </c>
      <c r="C5" s="162">
        <f t="shared" si="8"/>
        <v>84.022400090000005</v>
      </c>
      <c r="D5">
        <f t="shared" si="1"/>
        <v>36</v>
      </c>
      <c r="E5" s="4" t="str">
        <f t="shared" si="9"/>
        <v>p</v>
      </c>
      <c r="F5">
        <f t="shared" si="10"/>
        <v>1</v>
      </c>
      <c r="G5">
        <v>90</v>
      </c>
      <c r="H5" t="str">
        <f>Data!A6</f>
        <v>Admireel</v>
      </c>
      <c r="I5" s="2" t="str">
        <f>Data!C6</f>
        <v>Roosters</v>
      </c>
      <c r="J5" s="2" t="str">
        <f>Data!D6</f>
        <v>Sea Eagles</v>
      </c>
      <c r="K5" s="2" t="str">
        <f>Data!E6</f>
        <v>Rabbitohs</v>
      </c>
      <c r="L5" s="2" t="str">
        <f>IF(Data!$S$3&lt;Engine!L$1,0,Data!F6)</f>
        <v>Storm</v>
      </c>
      <c r="M5" s="2" t="str">
        <f>IF(Data!$S$3&lt;Engine!M$1,0,Data!G6)</f>
        <v>Knights</v>
      </c>
      <c r="N5" s="2" t="str">
        <f>IF(Data!$S$3&lt;Engine!N$1,0,Data!H6)</f>
        <v>Raiders</v>
      </c>
      <c r="O5" s="2" t="str">
        <f>IF(Data!$S$3&lt;Engine!O$1,0,Data!I6)</f>
        <v>Titans</v>
      </c>
      <c r="P5" s="2" t="str">
        <f>IF(Data!$S$3&lt;Engine!P$1,0,Data!J6)</f>
        <v>Eels</v>
      </c>
      <c r="Q5" s="17" t="str">
        <f>IF(Data!B6=1,Data!K6,"No Tips")</f>
        <v>Storm</v>
      </c>
      <c r="R5" s="2">
        <f>Data!L6</f>
        <v>84</v>
      </c>
      <c r="S5" s="2">
        <f>Data!M6</f>
        <v>2240</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0</v>
      </c>
      <c r="V5" s="15">
        <f>IF(I5="","",IF(T5=Data!S$3,2,0))</f>
        <v>0</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24</v>
      </c>
      <c r="Y5">
        <f t="shared" si="4"/>
        <v>85</v>
      </c>
      <c r="Z5">
        <f t="shared" si="12"/>
        <v>2264</v>
      </c>
      <c r="AA5" s="162">
        <f t="shared" si="13"/>
        <v>85.022640089999996</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24</v>
      </c>
      <c r="AD5" s="4"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77</v>
      </c>
      <c r="C6" s="162">
        <f t="shared" si="8"/>
        <v>56.019060089</v>
      </c>
      <c r="D6">
        <f t="shared" si="1"/>
        <v>77</v>
      </c>
      <c r="E6" s="4" t="str">
        <f t="shared" si="9"/>
        <v>u</v>
      </c>
      <c r="F6" t="str">
        <f t="shared" si="10"/>
        <v/>
      </c>
      <c r="G6">
        <v>89</v>
      </c>
      <c r="H6" t="str">
        <f>Data!A7</f>
        <v>Arun Gopal</v>
      </c>
      <c r="I6" s="2" t="str">
        <f>Data!C7</f>
        <v/>
      </c>
      <c r="J6" s="2" t="str">
        <f>Data!D7</f>
        <v/>
      </c>
      <c r="K6" s="2" t="str">
        <f>Data!E7</f>
        <v/>
      </c>
      <c r="L6" s="2" t="str">
        <f>IF(Data!$S$3&lt;Engine!L$1,0,Data!F7)</f>
        <v/>
      </c>
      <c r="M6" s="2" t="str">
        <f>IF(Data!$S$3&lt;Engine!M$1,0,Data!G7)</f>
        <v/>
      </c>
      <c r="N6" s="2" t="str">
        <f>IF(Data!$S$3&lt;Engine!N$1,0,Data!H7)</f>
        <v/>
      </c>
      <c r="O6" s="2" t="str">
        <f>IF(Data!$S$3&lt;Engine!O$1,0,Data!I7)</f>
        <v/>
      </c>
      <c r="P6" s="2" t="str">
        <f>IF(Data!$S$3&lt;Engine!P$1,0,Data!J7)</f>
        <v/>
      </c>
      <c r="Q6" s="17" t="str">
        <f>IF(Data!B7=1,Data!K7,"No Tips")</f>
        <v>No Tips</v>
      </c>
      <c r="R6" s="2">
        <f>Data!L7</f>
        <v>56</v>
      </c>
      <c r="S6" s="2">
        <f>Data!M7</f>
        <v>1906</v>
      </c>
      <c r="T6" s="15" t="str">
        <f>IF(I6="","",COUNTIF('Live Ladder'!P:P,I6)+COUNTIF('Live Ladder'!P:P,J6)+COUNTIF('Live Ladder'!P:P,K6)+COUNTIF('Live Ladder'!P:P,L6)+COUNTIF('Live Ladder'!P:P,M6)+COUNTIF('Live Ladder'!P:P,N6)+COUNTIF('Live Ladder'!P:P,O6)+COUNTIF('Live Ladder'!P:P,P6))</f>
        <v/>
      </c>
      <c r="U6" s="15" t="str">
        <f>IF(I6="","",IF(COUNTIF('Live Ladder'!P:P,Engine!Q6)=1,2,IF(COUNTIF('Live Ladder'!Q:Q,Engine!Q6)=1,-2,0)))</f>
        <v/>
      </c>
      <c r="V6" s="15" t="str">
        <f>IF(I6="","",IF(T6=Data!S$3,2,0))</f>
        <v/>
      </c>
      <c r="W6" s="15">
        <f t="shared" si="11"/>
        <v>0</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Y6">
        <f t="shared" si="4"/>
        <v>56</v>
      </c>
      <c r="Z6">
        <f t="shared" si="12"/>
        <v>1922</v>
      </c>
      <c r="AA6" s="162">
        <f t="shared" si="13"/>
        <v>56.019220088999994</v>
      </c>
      <c r="AB6">
        <f t="shared" si="15"/>
        <v>0</v>
      </c>
      <c r="AC6" t="str">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
      </c>
      <c r="AF6" t="str">
        <f>IF(I6="","",IF(Q6="",0,IF(AND(Q6&gt;0,COUNTIF('Stats Calculator'!$T$24:$AA$24,Q6)=1),HLOOKUP(Q6,'Stats Calculator'!$T$24:$AA$27,4,FALSE),IF(AND(Q6&gt;0,COUNTIF('Stats Calculator'!$T$25:$AA$25,Q6)=1),HLOOKUP(Q6,'Stats Calculator'!$T$25:$AA$27,3,FALSE)))))</f>
        <v/>
      </c>
      <c r="AG6" t="str">
        <f>IF(I6="","",COUNTIF(I6,'Stats Calculator'!E$31)+COUNTIF(J6,'Stats Calculator'!E$32)+COUNTIF(K6,'Stats Calculator'!E$33)+COUNTIF(L6,'Stats Calculator'!E$34)+COUNTIF(M6,'Stats Calculator'!E$35)+COUNTIF(N6,'Stats Calculator'!E$36)+COUNTIF(O6,'Stats Calculator'!E$37)+COUNTIF(P6,'Stats Calculator'!E$38)-8+Data!S$3)</f>
        <v/>
      </c>
      <c r="AH6" t="str">
        <f>IF(I6="","",IF(Q6="",0,IF(Q6=0,0,IF(VLOOKUP(Engine!AF6,'Stats Calculator'!B$31:E$38,4,FALSE)="",0,IF(VLOOKUP(Engine!AF6,'Stats Calculator'!B$31:E$38,4,FALSE)=Q6,2,-2)))))</f>
        <v/>
      </c>
      <c r="AI6" t="str">
        <f>IF(I6="","",Data!S$3-COUNTA('Stats Calculator'!E$31:E$38))</f>
        <v/>
      </c>
      <c r="AJ6" t="str">
        <f>IF(I6="","",IF(AF6=0,0,IF(VLOOKUP(AF6,'Stats Calculator'!B$31:E$38,4,FALSE)&gt;0,0,2)))</f>
        <v/>
      </c>
      <c r="AK6" t="str">
        <f>IF(I6="","",IF(Data!S$3-Engine!AI6=AG6,2,0))</f>
        <v/>
      </c>
      <c r="AL6" t="str">
        <f t="shared" si="14"/>
        <v/>
      </c>
    </row>
    <row r="7" spans="1:38" x14ac:dyDescent="0.3">
      <c r="A7">
        <v>6</v>
      </c>
      <c r="B7">
        <f t="shared" si="0"/>
        <v>71</v>
      </c>
      <c r="C7" s="162">
        <f t="shared" si="8"/>
        <v>59.020020088000003</v>
      </c>
      <c r="D7">
        <f t="shared" si="1"/>
        <v>71</v>
      </c>
      <c r="E7" s="4" t="str">
        <f t="shared" si="9"/>
        <v>u</v>
      </c>
      <c r="F7" t="str">
        <f t="shared" si="10"/>
        <v/>
      </c>
      <c r="G7">
        <v>88</v>
      </c>
      <c r="H7" t="str">
        <f>Data!A8</f>
        <v>Bart Simpson</v>
      </c>
      <c r="I7" s="2" t="str">
        <f>Data!C8</f>
        <v>Roosters</v>
      </c>
      <c r="J7" s="2" t="str">
        <f>Data!D8</f>
        <v>Sea Eagles</v>
      </c>
      <c r="K7" s="2" t="str">
        <f>Data!E8</f>
        <v>Rabbitohs</v>
      </c>
      <c r="L7" s="2" t="str">
        <f>IF(Data!$S$3&lt;Engine!L$1,0,Data!F8)</f>
        <v>Storm</v>
      </c>
      <c r="M7" s="2" t="str">
        <f>IF(Data!$S$3&lt;Engine!M$1,0,Data!G8)</f>
        <v>Knights</v>
      </c>
      <c r="N7" s="2" t="str">
        <f>IF(Data!$S$3&lt;Engine!N$1,0,Data!H8)</f>
        <v>Panthers</v>
      </c>
      <c r="O7" s="2" t="str">
        <f>IF(Data!$S$3&lt;Engine!O$1,0,Data!I8)</f>
        <v>Titans</v>
      </c>
      <c r="P7" s="2" t="str">
        <f>IF(Data!$S$3&lt;Engine!P$1,0,Data!J8)</f>
        <v>Eels</v>
      </c>
      <c r="Q7" s="17" t="str">
        <f>IF(Data!B8=1,Data!K8,"No Tips")</f>
        <v>Sea Eagles</v>
      </c>
      <c r="R7" s="2">
        <f>Data!L8</f>
        <v>59</v>
      </c>
      <c r="S7" s="2">
        <f>Data!M8</f>
        <v>2002</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Y7">
        <f t="shared" si="4"/>
        <v>60</v>
      </c>
      <c r="Z7">
        <f t="shared" si="12"/>
        <v>2026</v>
      </c>
      <c r="AA7" s="162">
        <f t="shared" si="13"/>
        <v>60.020260088000001</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50</v>
      </c>
      <c r="C8" s="162">
        <f t="shared" si="8"/>
        <v>76.02263008700001</v>
      </c>
      <c r="D8" s="159">
        <f t="shared" si="1"/>
        <v>50</v>
      </c>
      <c r="E8" s="160" t="str">
        <f t="shared" si="9"/>
        <v>u</v>
      </c>
      <c r="F8" s="159" t="str">
        <f t="shared" si="10"/>
        <v/>
      </c>
      <c r="G8">
        <v>87</v>
      </c>
      <c r="H8" t="str">
        <f>Data!A9</f>
        <v>Beaver</v>
      </c>
      <c r="I8" s="2" t="str">
        <f>Data!C9</f>
        <v>Roosters</v>
      </c>
      <c r="J8" s="2" t="str">
        <f>Data!D9</f>
        <v>Sea Eagles</v>
      </c>
      <c r="K8" s="2" t="str">
        <f>Data!E9</f>
        <v>Rabbitohs</v>
      </c>
      <c r="L8" s="2" t="str">
        <f>IF(Data!$S$3&lt;Engine!L$1,0,Data!F9)</f>
        <v>Storm</v>
      </c>
      <c r="M8" s="2" t="str">
        <f>IF(Data!$S$3&lt;Engine!M$1,0,Data!G9)</f>
        <v>Knights</v>
      </c>
      <c r="N8" s="2" t="str">
        <f>IF(Data!$S$3&lt;Engine!N$1,0,Data!H9)</f>
        <v>Panthers</v>
      </c>
      <c r="O8" s="2" t="str">
        <f>IF(Data!$S$3&lt;Engine!O$1,0,Data!I9)</f>
        <v>Titans</v>
      </c>
      <c r="P8" s="2" t="str">
        <f>IF(Data!$S$3&lt;Engine!P$1,0,Data!J9)</f>
        <v>Eels</v>
      </c>
      <c r="Q8" s="17" t="str">
        <f>IF(Data!B9=1,Data!K9,"No Tips")</f>
        <v>Storm</v>
      </c>
      <c r="R8" s="2">
        <f>Data!L9</f>
        <v>76</v>
      </c>
      <c r="S8" s="2">
        <f>Data!M9</f>
        <v>2263</v>
      </c>
      <c r="T8" s="161">
        <f>IF(I8="","",COUNTIF('Live Ladder'!P:P,I8)+COUNTIF('Live Ladder'!P:P,J8)+COUNTIF('Live Ladder'!P:P,K8)+COUNTIF('Live Ladder'!P:P,L8)+COUNTIF('Live Ladder'!P:P,M8)+COUNTIF('Live Ladder'!P:P,N8)+COUNTIF('Live Ladder'!P:P,O8)+COUNTIF('Live Ladder'!P:P,P8))</f>
        <v>1</v>
      </c>
      <c r="U8" s="161">
        <f>IF(I8="","",IF(COUNTIF('Live Ladder'!P:P,Engine!Q8)=1,2,IF(COUNTIF('Live Ladder'!Q:Q,Engine!Q8)=1,-2,0)))</f>
        <v>0</v>
      </c>
      <c r="V8" s="161">
        <f>IF(I8="","",IF(T8=Data!S$3,2,0))</f>
        <v>0</v>
      </c>
      <c r="W8" s="161">
        <f t="shared" si="11"/>
        <v>1</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24</v>
      </c>
      <c r="Y8" s="159">
        <f t="shared" si="4"/>
        <v>77</v>
      </c>
      <c r="Z8" s="159">
        <f t="shared" si="12"/>
        <v>2287</v>
      </c>
      <c r="AA8" s="162">
        <f t="shared" si="13"/>
        <v>77.022870087000001</v>
      </c>
      <c r="AB8" s="159">
        <f t="shared" si="16"/>
        <v>1</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24</v>
      </c>
      <c r="AF8" s="159">
        <f>IF(I8="","",IF(Q8="",0,IF(AND(Q8&gt;0,COUNTIF('Stats Calculator'!$T$24:$AA$24,Q8)=1),HLOOKUP(Q8,'Stats Calculator'!$T$24:$AA$27,4,FALSE),IF(AND(Q8&gt;0,COUNTIF('Stats Calculator'!$T$25:$AA$25,Q8)=1),HLOOKUP(Q8,'Stats Calculator'!$T$25:$AA$27,3,FALSE)))))</f>
        <v>4</v>
      </c>
      <c r="AG8" s="159">
        <f>IF(I8="","",COUNTIF(I8,'Stats Calculator'!E$31)+COUNTIF(J8,'Stats Calculator'!E$32)+COUNTIF(K8,'Stats Calculator'!E$33)+COUNTIF(L8,'Stats Calculator'!E$34)+COUNTIF(M8,'Stats Calculator'!E$35)+COUNTIF(N8,'Stats Calculator'!E$36)+COUNTIF(O8,'Stats Calculator'!E$37)+COUNTIF(P8,'Stats Calculator'!E$38)-8+Data!S$3)</f>
        <v>1</v>
      </c>
      <c r="AH8" s="159">
        <f>IF(I8="","",IF(Q8="",0,IF(Q8=0,0,IF(VLOOKUP(Engine!AF8,'Stats Calculator'!B$31:E$38,4,FALSE)="",0,IF(VLOOKUP(Engine!AF8,'Stats Calculator'!B$31:E$38,4,FALSE)=Q8,2,-2)))))</f>
        <v>0</v>
      </c>
      <c r="AI8" s="159">
        <f>IF(I8="","",Data!S$3-COUNTA('Stats Calculator'!E$31:E$38))</f>
        <v>7</v>
      </c>
      <c r="AJ8" s="159">
        <f>IF(I8="","",IF(AF8=0,0,IF(VLOOKUP(AF8,'Stats Calculator'!B$31:E$38,4,FALSE)&gt;0,0,2)))</f>
        <v>2</v>
      </c>
      <c r="AK8" s="159">
        <f>IF(I8="","",IF(Data!S$3-Engine!AI8=AG8,2,0))</f>
        <v>2</v>
      </c>
      <c r="AL8" s="159">
        <f t="shared" si="14"/>
        <v>12</v>
      </c>
    </row>
    <row r="9" spans="1:38" x14ac:dyDescent="0.3">
      <c r="A9">
        <v>8</v>
      </c>
      <c r="B9">
        <f t="shared" si="0"/>
        <v>45</v>
      </c>
      <c r="C9" s="162">
        <f t="shared" si="8"/>
        <v>81.022580086000005</v>
      </c>
      <c r="D9">
        <f t="shared" si="1"/>
        <v>45</v>
      </c>
      <c r="E9" s="4" t="str">
        <f t="shared" si="9"/>
        <v>u</v>
      </c>
      <c r="F9" t="str">
        <f t="shared" si="10"/>
        <v/>
      </c>
      <c r="G9">
        <v>86</v>
      </c>
      <c r="H9" t="str">
        <f>Data!A10</f>
        <v>Big Moose</v>
      </c>
      <c r="I9" s="2" t="str">
        <f>Data!C10</f>
        <v>Roosters</v>
      </c>
      <c r="J9" s="2" t="str">
        <f>Data!D10</f>
        <v>Sea Eagles</v>
      </c>
      <c r="K9" s="2" t="str">
        <f>Data!E10</f>
        <v>Rabbitohs</v>
      </c>
      <c r="L9" s="2" t="str">
        <f>IF(Data!$S$3&lt;Engine!L$1,0,Data!F10)</f>
        <v>Storm</v>
      </c>
      <c r="M9" s="2" t="str">
        <f>IF(Data!$S$3&lt;Engine!M$1,0,Data!G10)</f>
        <v>Knights</v>
      </c>
      <c r="N9" s="2" t="str">
        <f>IF(Data!$S$3&lt;Engine!N$1,0,Data!H10)</f>
        <v>Panthers</v>
      </c>
      <c r="O9" s="2" t="str">
        <f>IF(Data!$S$3&lt;Engine!O$1,0,Data!I10)</f>
        <v>Titans</v>
      </c>
      <c r="P9" s="2" t="str">
        <f>IF(Data!$S$3&lt;Engine!P$1,0,Data!J10)</f>
        <v>Eels</v>
      </c>
      <c r="Q9" s="17" t="str">
        <f>IF(Data!B10=1,Data!K10,"No Tips")</f>
        <v>Storm</v>
      </c>
      <c r="R9" s="2">
        <f>Data!L10</f>
        <v>81</v>
      </c>
      <c r="S9" s="2">
        <f>Data!M10</f>
        <v>2258</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0</v>
      </c>
      <c r="V9" s="15">
        <f>IF(I9="","",IF(T9=Data!S$3,2,0))</f>
        <v>0</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24</v>
      </c>
      <c r="Y9">
        <f t="shared" si="4"/>
        <v>82</v>
      </c>
      <c r="Z9">
        <f t="shared" si="12"/>
        <v>2282</v>
      </c>
      <c r="AA9" s="162">
        <f t="shared" si="13"/>
        <v>82.022820085999996</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24</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23</v>
      </c>
      <c r="C10" s="162">
        <f t="shared" si="8"/>
        <v>87.022390025000007</v>
      </c>
      <c r="D10">
        <f t="shared" si="1"/>
        <v>22</v>
      </c>
      <c r="E10" s="4" t="str">
        <f t="shared" si="9"/>
        <v>p</v>
      </c>
      <c r="F10">
        <f t="shared" si="10"/>
        <v>1</v>
      </c>
      <c r="G10">
        <v>25</v>
      </c>
      <c r="H10" t="str">
        <f>Data!A71</f>
        <v>Big Papi Productions</v>
      </c>
      <c r="I10" s="2" t="str">
        <f>Data!C71</f>
        <v>Roosters</v>
      </c>
      <c r="J10" s="2" t="str">
        <f>Data!D71</f>
        <v>Sea Eagles</v>
      </c>
      <c r="K10" s="2" t="str">
        <f>Data!E71</f>
        <v>Rabbitohs</v>
      </c>
      <c r="L10" s="2" t="str">
        <f>IF(Data!$S$3&lt;Engine!L$1,0,Data!F71)</f>
        <v>Storm</v>
      </c>
      <c r="M10" s="2" t="str">
        <f>IF(Data!$S$3&lt;Engine!M$1,0,Data!G71)</f>
        <v>Knights</v>
      </c>
      <c r="N10" s="2" t="str">
        <f>IF(Data!$S$3&lt;Engine!N$1,0,Data!H71)</f>
        <v>Panthers</v>
      </c>
      <c r="O10" s="2" t="str">
        <f>IF(Data!$S$3&lt;Engine!O$1,0,Data!I71)</f>
        <v>Cowboys</v>
      </c>
      <c r="P10" s="2" t="str">
        <f>IF(Data!$S$3&lt;Engine!P$1,0,Data!J71)</f>
        <v>Eels</v>
      </c>
      <c r="Q10" s="17" t="str">
        <f>IF(Data!B71=1,Data!K71,"No Tips")</f>
        <v>Storm</v>
      </c>
      <c r="R10" s="2">
        <f>Data!L71</f>
        <v>87</v>
      </c>
      <c r="S10" s="2">
        <f>Data!M71</f>
        <v>2239</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0</v>
      </c>
      <c r="V10" s="15">
        <f>IF(I10="","",IF(T10=Data!S$3,2,0))</f>
        <v>0</v>
      </c>
      <c r="W10" s="15">
        <f t="shared" si="11"/>
        <v>1</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Y10">
        <f t="shared" si="4"/>
        <v>88</v>
      </c>
      <c r="Z10">
        <f t="shared" si="12"/>
        <v>2263</v>
      </c>
      <c r="AA10" s="162">
        <f t="shared" si="13"/>
        <v>88.022630025000012</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AF10">
        <f>IF(I10="","",IF(Q10="",0,IF(AND(Q10&gt;0,COUNTIF('Stats Calculator'!$T$24:$AA$24,Q10)=1),HLOOKUP(Q10,'Stats Calculator'!$T$24:$AA$27,4,FALSE),IF(AND(Q10&gt;0,COUNTIF('Stats Calculator'!$T$25:$AA$25,Q10)=1),HLOOKUP(Q10,'Stats Calculator'!$T$25:$AA$27,3,FALSE)))))</f>
        <v>4</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10</v>
      </c>
      <c r="C11" s="162">
        <f t="shared" si="8"/>
        <v>90.02317008499999</v>
      </c>
      <c r="D11">
        <f t="shared" si="1"/>
        <v>10</v>
      </c>
      <c r="E11" s="4" t="str">
        <f t="shared" si="9"/>
        <v>u</v>
      </c>
      <c r="F11" t="str">
        <f t="shared" si="10"/>
        <v/>
      </c>
      <c r="G11">
        <v>85</v>
      </c>
      <c r="H11" t="str">
        <f>Data!A11</f>
        <v>BigBadBenji</v>
      </c>
      <c r="I11" s="2" t="str">
        <f>Data!C11</f>
        <v>Roosters</v>
      </c>
      <c r="J11" s="2" t="str">
        <f>Data!D11</f>
        <v>Sea Eagles</v>
      </c>
      <c r="K11" s="2" t="str">
        <f>Data!E11</f>
        <v>Rabbitohs</v>
      </c>
      <c r="L11" s="2" t="str">
        <f>IF(Data!$S$3&lt;Engine!L$1,0,Data!F11)</f>
        <v>Storm</v>
      </c>
      <c r="M11" s="2" t="str">
        <f>IF(Data!$S$3&lt;Engine!M$1,0,Data!G11)</f>
        <v>Knights</v>
      </c>
      <c r="N11" s="2" t="str">
        <f>IF(Data!$S$3&lt;Engine!N$1,0,Data!H11)</f>
        <v>Panthers</v>
      </c>
      <c r="O11" s="2" t="str">
        <f>IF(Data!$S$3&lt;Engine!O$1,0,Data!I11)</f>
        <v>Titans</v>
      </c>
      <c r="P11" s="2" t="str">
        <f>IF(Data!$S$3&lt;Engine!P$1,0,Data!J11)</f>
        <v>Eels</v>
      </c>
      <c r="Q11" s="17" t="str">
        <f>IF(Data!B11=1,Data!K11,"No Tips")</f>
        <v>Storm</v>
      </c>
      <c r="R11" s="2">
        <f>Data!L11</f>
        <v>90</v>
      </c>
      <c r="S11" s="2">
        <f>Data!M11</f>
        <v>2317</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0</v>
      </c>
      <c r="V11" s="15">
        <f>IF(I11="","",IF(T11=Data!S$3,2,0))</f>
        <v>0</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24</v>
      </c>
      <c r="Y11">
        <f t="shared" si="4"/>
        <v>91</v>
      </c>
      <c r="Z11">
        <f t="shared" si="12"/>
        <v>2341</v>
      </c>
      <c r="AA11" s="162">
        <f t="shared" si="13"/>
        <v>91.023410084999995</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24</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54</v>
      </c>
      <c r="C12" s="162">
        <f>IF(H12="ZZZZZZ Suspend","",R12+(S12/100000)+(G12/1000000000))</f>
        <v>74.022490084000012</v>
      </c>
      <c r="D12">
        <f t="shared" si="1"/>
        <v>54</v>
      </c>
      <c r="E12" s="4" t="str">
        <f t="shared" si="9"/>
        <v>u</v>
      </c>
      <c r="F12" t="str">
        <f t="shared" si="10"/>
        <v/>
      </c>
      <c r="G12">
        <v>84</v>
      </c>
      <c r="H12" t="str">
        <f>Data!A12</f>
        <v>BillyB</v>
      </c>
      <c r="I12" s="2" t="str">
        <f>Data!C12</f>
        <v>Roosters</v>
      </c>
      <c r="J12" s="2" t="str">
        <f>Data!D12</f>
        <v>Sea Eagles</v>
      </c>
      <c r="K12" s="2" t="str">
        <f>Data!E12</f>
        <v>Rabbitohs</v>
      </c>
      <c r="L12" s="2" t="str">
        <f>IF(Data!$S$3&lt;Engine!L$1,0,Data!F12)</f>
        <v>Storm</v>
      </c>
      <c r="M12" s="2" t="str">
        <f>IF(Data!$S$3&lt;Engine!M$1,0,Data!G12)</f>
        <v>Wests Tigers</v>
      </c>
      <c r="N12" s="2" t="str">
        <f>IF(Data!$S$3&lt;Engine!N$1,0,Data!H12)</f>
        <v>Panthers</v>
      </c>
      <c r="O12" s="2" t="str">
        <f>IF(Data!$S$3&lt;Engine!O$1,0,Data!I12)</f>
        <v>Cowboys</v>
      </c>
      <c r="P12" s="2" t="str">
        <f>IF(Data!$S$3&lt;Engine!P$1,0,Data!J12)</f>
        <v>Eels</v>
      </c>
      <c r="Q12" s="17" t="str">
        <f>IF(Data!B12=1,Data!K12,"No Tips")</f>
        <v>Storm</v>
      </c>
      <c r="R12" s="2">
        <f>Data!L12</f>
        <v>74</v>
      </c>
      <c r="S12" s="2">
        <f>Data!M12</f>
        <v>2249</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24</v>
      </c>
      <c r="Y12">
        <f t="shared" si="4"/>
        <v>75</v>
      </c>
      <c r="Z12">
        <f t="shared" si="12"/>
        <v>2273</v>
      </c>
      <c r="AA12" s="162">
        <f t="shared" si="13"/>
        <v>75.022730084000003</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24</v>
      </c>
      <c r="AF12">
        <f>IF(I12="","",IF(Q12="",0,IF(AND(Q12&gt;0,COUNTIF('Stats Calculator'!$T$24:$AA$24,Q12)=1),HLOOKUP(Q12,'Stats Calculator'!$T$24:$AA$27,4,FALSE),IF(AND(Q12&gt;0,COUNTIF('Stats Calculator'!$T$25:$AA$25,Q12)=1),HLOOKUP(Q12,'Stats Calculator'!$T$25:$AA$27,3,FALSE)))))</f>
        <v>4</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12</v>
      </c>
      <c r="C13" s="162">
        <f t="shared" si="8"/>
        <v>90.021940083000004</v>
      </c>
      <c r="D13">
        <f t="shared" si="1"/>
        <v>19</v>
      </c>
      <c r="E13" s="4" t="str">
        <f t="shared" si="9"/>
        <v>q</v>
      </c>
      <c r="F13">
        <f t="shared" si="10"/>
        <v>7</v>
      </c>
      <c r="G13">
        <v>83</v>
      </c>
      <c r="H13" t="str">
        <f>Data!A13</f>
        <v>blakey94</v>
      </c>
      <c r="I13" s="2" t="str">
        <f>Data!C13</f>
        <v>Dragons</v>
      </c>
      <c r="J13" s="2" t="str">
        <f>Data!D13</f>
        <v>Warriors</v>
      </c>
      <c r="K13" s="2" t="str">
        <f>Data!E13</f>
        <v>Rabbitohs</v>
      </c>
      <c r="L13" s="2" t="str">
        <f>IF(Data!$S$3&lt;Engine!L$1,0,Data!F13)</f>
        <v>Storm</v>
      </c>
      <c r="M13" s="2" t="str">
        <f>IF(Data!$S$3&lt;Engine!M$1,0,Data!G13)</f>
        <v>Knights</v>
      </c>
      <c r="N13" s="2" t="str">
        <f>IF(Data!$S$3&lt;Engine!N$1,0,Data!H13)</f>
        <v>Raiders</v>
      </c>
      <c r="O13" s="2" t="str">
        <f>IF(Data!$S$3&lt;Engine!O$1,0,Data!I13)</f>
        <v>Titans</v>
      </c>
      <c r="P13" s="2" t="str">
        <f>IF(Data!$S$3&lt;Engine!P$1,0,Data!J13)</f>
        <v>Eels</v>
      </c>
      <c r="Q13" s="17" t="str">
        <f>IF(Data!B13=1,Data!K13,"No Tips")</f>
        <v>Storm</v>
      </c>
      <c r="R13" s="2">
        <f>Data!L13</f>
        <v>90</v>
      </c>
      <c r="S13" s="2">
        <f>Data!M13</f>
        <v>2194</v>
      </c>
      <c r="T13" s="15">
        <f>IF(I13="","",COUNTIF('Live Ladder'!P:P,I13)+COUNTIF('Live Ladder'!P:P,J13)+COUNTIF('Live Ladder'!P:P,K13)+COUNTIF('Live Ladder'!P:P,L13)+COUNTIF('Live Ladder'!P:P,M13)+COUNTIF('Live Ladder'!P:P,N13)+COUNTIF('Live Ladder'!P:P,O13)+COUNTIF('Live Ladder'!P:P,P13))</f>
        <v>0</v>
      </c>
      <c r="U13" s="15">
        <f>IF(I13="","",IF(COUNTIF('Live Ladder'!P:P,Engine!Q13)=1,2,IF(COUNTIF('Live Ladder'!Q:Q,Engine!Q13)=1,-2,0)))</f>
        <v>0</v>
      </c>
      <c r="V13" s="15">
        <f>IF(I13="","",IF(T13=Data!S$3,2,0))</f>
        <v>0</v>
      </c>
      <c r="W13" s="15">
        <f t="shared" si="11"/>
        <v>0</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Y13">
        <f t="shared" si="4"/>
        <v>90</v>
      </c>
      <c r="Z13">
        <f t="shared" si="12"/>
        <v>2210</v>
      </c>
      <c r="AA13" s="162">
        <f t="shared" si="13"/>
        <v>90.022100082999998</v>
      </c>
      <c r="AB13">
        <f t="shared" si="1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
      <c r="A14">
        <v>13</v>
      </c>
      <c r="B14">
        <f t="shared" si="0"/>
        <v>65</v>
      </c>
      <c r="C14" s="162">
        <f t="shared" si="8"/>
        <v>69.021740081999994</v>
      </c>
      <c r="D14">
        <f t="shared" si="1"/>
        <v>66</v>
      </c>
      <c r="E14" s="4" t="str">
        <f t="shared" si="9"/>
        <v>q</v>
      </c>
      <c r="F14">
        <f t="shared" si="10"/>
        <v>1</v>
      </c>
      <c r="G14">
        <v>82</v>
      </c>
      <c r="H14" t="str">
        <f>Data!A14</f>
        <v>Bridie</v>
      </c>
      <c r="I14" s="2" t="str">
        <f>Data!C14</f>
        <v>Roosters</v>
      </c>
      <c r="J14" s="2" t="str">
        <f>Data!D14</f>
        <v>Sea Eagles</v>
      </c>
      <c r="K14" s="2" t="str">
        <f>Data!E14</f>
        <v>Rabbitohs</v>
      </c>
      <c r="L14" s="2" t="str">
        <f>IF(Data!$S$3&lt;Engine!L$1,0,Data!F14)</f>
        <v>Storm</v>
      </c>
      <c r="M14" s="2" t="str">
        <f>IF(Data!$S$3&lt;Engine!M$1,0,Data!G14)</f>
        <v>Knights</v>
      </c>
      <c r="N14" s="2" t="str">
        <f>IF(Data!$S$3&lt;Engine!N$1,0,Data!H14)</f>
        <v>Panthers</v>
      </c>
      <c r="O14" s="2" t="str">
        <f>IF(Data!$S$3&lt;Engine!O$1,0,Data!I14)</f>
        <v>Cowboys</v>
      </c>
      <c r="P14" s="2" t="str">
        <f>IF(Data!$S$3&lt;Engine!P$1,0,Data!J14)</f>
        <v>Eels</v>
      </c>
      <c r="Q14" s="17" t="str">
        <f>IF(Data!B14=1,Data!K14,"No Tips")</f>
        <v>Storm</v>
      </c>
      <c r="R14" s="2">
        <f>Data!L14</f>
        <v>69</v>
      </c>
      <c r="S14" s="2">
        <f>Data!M14</f>
        <v>2174</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0</v>
      </c>
      <c r="V14" s="15">
        <f>IF(I14="","",IF(T14=Data!S$3,2,0))</f>
        <v>0</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Y14">
        <f t="shared" si="4"/>
        <v>70</v>
      </c>
      <c r="Z14">
        <f t="shared" si="12"/>
        <v>2198</v>
      </c>
      <c r="AA14" s="162">
        <f t="shared" si="13"/>
        <v>70.021980081999999</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AF14">
        <f>IF(I14="","",IF(Q14="",0,IF(AND(Q14&gt;0,COUNTIF('Stats Calculator'!$T$24:$AA$24,Q14)=1),HLOOKUP(Q14,'Stats Calculator'!$T$24:$AA$27,4,FALSE),IF(AND(Q14&gt;0,COUNTIF('Stats Calculator'!$T$25:$AA$25,Q14)=1),HLOOKUP(Q14,'Stats Calculator'!$T$25:$AA$27,3,FALSE)))))</f>
        <v>4</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47</v>
      </c>
      <c r="C15" s="162">
        <f t="shared" si="8"/>
        <v>80.022550080999991</v>
      </c>
      <c r="D15">
        <f t="shared" si="1"/>
        <v>47</v>
      </c>
      <c r="E15" s="4" t="str">
        <f t="shared" si="9"/>
        <v>u</v>
      </c>
      <c r="F15" t="str">
        <f t="shared" si="10"/>
        <v/>
      </c>
      <c r="G15">
        <v>81</v>
      </c>
      <c r="H15" t="str">
        <f>Data!A15</f>
        <v>Budgie</v>
      </c>
      <c r="I15" s="2" t="str">
        <f>Data!C15</f>
        <v>Roosters</v>
      </c>
      <c r="J15" s="2" t="str">
        <f>Data!D15</f>
        <v>Sea Eagles</v>
      </c>
      <c r="K15" s="2" t="str">
        <f>Data!E15</f>
        <v>Rabbitohs</v>
      </c>
      <c r="L15" s="2" t="str">
        <f>IF(Data!$S$3&lt;Engine!L$1,0,Data!F15)</f>
        <v>Storm</v>
      </c>
      <c r="M15" s="2" t="str">
        <f>IF(Data!$S$3&lt;Engine!M$1,0,Data!G15)</f>
        <v>Wests Tigers</v>
      </c>
      <c r="N15" s="2" t="str">
        <f>IF(Data!$S$3&lt;Engine!N$1,0,Data!H15)</f>
        <v>Panthers</v>
      </c>
      <c r="O15" s="2" t="str">
        <f>IF(Data!$S$3&lt;Engine!O$1,0,Data!I15)</f>
        <v>Titans</v>
      </c>
      <c r="P15" s="2" t="str">
        <f>IF(Data!$S$3&lt;Engine!P$1,0,Data!J15)</f>
        <v>Eels</v>
      </c>
      <c r="Q15" s="17" t="str">
        <f>IF(Data!B15=1,Data!K15,"No Tips")</f>
        <v>Storm</v>
      </c>
      <c r="R15" s="2">
        <f>Data!L15</f>
        <v>80</v>
      </c>
      <c r="S15" s="2">
        <f>Data!M15</f>
        <v>2255</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0</v>
      </c>
      <c r="V15" s="15">
        <f>IF(I15="","",IF(T15=Data!S$3,2,0))</f>
        <v>0</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24</v>
      </c>
      <c r="Y15">
        <f t="shared" si="4"/>
        <v>81</v>
      </c>
      <c r="Z15">
        <f t="shared" si="12"/>
        <v>2279</v>
      </c>
      <c r="AA15" s="162">
        <f t="shared" si="13"/>
        <v>81.022790080999997</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24</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7</v>
      </c>
      <c r="C16" s="162">
        <f t="shared" si="8"/>
        <v>91.023100017000004</v>
      </c>
      <c r="D16">
        <f t="shared" si="1"/>
        <v>7</v>
      </c>
      <c r="E16" s="4" t="str">
        <f t="shared" si="9"/>
        <v>u</v>
      </c>
      <c r="F16" t="str">
        <f t="shared" si="10"/>
        <v/>
      </c>
      <c r="G16">
        <v>17</v>
      </c>
      <c r="H16" t="str">
        <f>Data!A79</f>
        <v>Caline</v>
      </c>
      <c r="I16" s="2" t="str">
        <f>Data!C79</f>
        <v>Roosters</v>
      </c>
      <c r="J16" s="2" t="str">
        <f>Data!D79</f>
        <v>Sea Eagles</v>
      </c>
      <c r="K16" s="2" t="str">
        <f>Data!E79</f>
        <v>Rabbitohs</v>
      </c>
      <c r="L16" s="2" t="str">
        <f>IF(Data!$S$3&lt;Engine!L$1,0,Data!F79)</f>
        <v>Storm</v>
      </c>
      <c r="M16" s="2" t="str">
        <f>IF(Data!$S$3&lt;Engine!M$1,0,Data!G79)</f>
        <v>Knights</v>
      </c>
      <c r="N16" s="2" t="str">
        <f>IF(Data!$S$3&lt;Engine!N$1,0,Data!H79)</f>
        <v>Panthers</v>
      </c>
      <c r="O16" s="2" t="str">
        <f>IF(Data!$S$3&lt;Engine!O$1,0,Data!I79)</f>
        <v>Cowboys</v>
      </c>
      <c r="P16" s="2" t="str">
        <f>IF(Data!$S$3&lt;Engine!P$1,0,Data!J79)</f>
        <v>Eels</v>
      </c>
      <c r="Q16" s="17" t="str">
        <f>IF(Data!B79=1,Data!K79,"No Tips")</f>
        <v>Storm</v>
      </c>
      <c r="R16" s="2">
        <f>Data!L79</f>
        <v>91</v>
      </c>
      <c r="S16" s="2">
        <f>Data!M79</f>
        <v>2310</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0</v>
      </c>
      <c r="V16" s="15">
        <f>IF(I16="","",IF(T16=Data!S$3,2,0))</f>
        <v>0</v>
      </c>
      <c r="W16" s="15">
        <f t="shared" si="11"/>
        <v>1</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24</v>
      </c>
      <c r="Y16">
        <f>IF(H16="ZZZZZZ Suspend","",R16+W16)</f>
        <v>92</v>
      </c>
      <c r="Z16">
        <f t="shared" si="12"/>
        <v>2334</v>
      </c>
      <c r="AA16" s="162">
        <f t="shared" si="13"/>
        <v>92.02334001700001</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24</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55</v>
      </c>
      <c r="C17" s="162">
        <f t="shared" si="8"/>
        <v>74.02214008</v>
      </c>
      <c r="D17">
        <f t="shared" si="1"/>
        <v>55</v>
      </c>
      <c r="E17" s="4" t="str">
        <f t="shared" si="9"/>
        <v>u</v>
      </c>
      <c r="F17" t="str">
        <f t="shared" si="10"/>
        <v/>
      </c>
      <c r="G17">
        <v>80</v>
      </c>
      <c r="H17" t="str">
        <f>Data!A16</f>
        <v>Camo</v>
      </c>
      <c r="I17" s="2" t="str">
        <f>Data!C16</f>
        <v>Roosters</v>
      </c>
      <c r="J17" s="2" t="str">
        <f>Data!D16</f>
        <v>Sea Eagles</v>
      </c>
      <c r="K17" s="2" t="str">
        <f>Data!E16</f>
        <v>Rabbitohs</v>
      </c>
      <c r="L17" s="2" t="str">
        <f>IF(Data!$S$3&lt;Engine!L$1,0,Data!F16)</f>
        <v>Storm</v>
      </c>
      <c r="M17" s="2" t="str">
        <f>IF(Data!$S$3&lt;Engine!M$1,0,Data!G16)</f>
        <v>Knights</v>
      </c>
      <c r="N17" s="2" t="str">
        <f>IF(Data!$S$3&lt;Engine!N$1,0,Data!H16)</f>
        <v>Raiders</v>
      </c>
      <c r="O17" s="2" t="str">
        <f>IF(Data!$S$3&lt;Engine!O$1,0,Data!I16)</f>
        <v>Cowboys</v>
      </c>
      <c r="P17" s="2" t="str">
        <f>IF(Data!$S$3&lt;Engine!P$1,0,Data!J16)</f>
        <v>Eels</v>
      </c>
      <c r="Q17" s="17" t="str">
        <f>IF(Data!B16=1,Data!K16,"No Tips")</f>
        <v>Storm</v>
      </c>
      <c r="R17" s="2">
        <f>Data!L16</f>
        <v>74</v>
      </c>
      <c r="S17" s="2">
        <f>Data!M16</f>
        <v>2214</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0</v>
      </c>
      <c r="V17" s="15">
        <f>IF(I17="","",IF(T17=Data!S$3,2,0))</f>
        <v>0</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24</v>
      </c>
      <c r="Y17">
        <f t="shared" ref="Y17:Y80" si="17">IF(H17="ZZZZZZ Suspend","",R17+W17)</f>
        <v>75</v>
      </c>
      <c r="Z17">
        <f t="shared" si="12"/>
        <v>2238</v>
      </c>
      <c r="AA17" s="162">
        <f t="shared" si="13"/>
        <v>75.022380080000005</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24</v>
      </c>
      <c r="AD17" s="16"/>
      <c r="AE17" s="16"/>
      <c r="AF17">
        <f>IF(I17="","",IF(Q17="",0,IF(AND(Q17&gt;0,COUNTIF('Stats Calculator'!$T$24:$AA$24,Q17)=1),HLOOKUP(Q17,'Stats Calculator'!$T$24:$AA$27,4,FALSE),IF(AND(Q17&gt;0,COUNTIF('Stats Calculator'!$T$25:$AA$25,Q17)=1),HLOOKUP(Q17,'Stats Calculator'!$T$25:$AA$27,3,FALSE)))))</f>
        <v>4</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
      <c r="A18">
        <v>17</v>
      </c>
      <c r="B18">
        <f t="shared" si="0"/>
        <v>36</v>
      </c>
      <c r="C18" s="162">
        <f t="shared" si="8"/>
        <v>84.022920079000002</v>
      </c>
      <c r="D18">
        <f t="shared" si="1"/>
        <v>38</v>
      </c>
      <c r="E18" s="4" t="str">
        <f t="shared" si="9"/>
        <v>q</v>
      </c>
      <c r="F18">
        <f t="shared" si="10"/>
        <v>2</v>
      </c>
      <c r="G18">
        <v>79</v>
      </c>
      <c r="H18" t="str">
        <f>Data!A17</f>
        <v>Carlos</v>
      </c>
      <c r="I18" s="2" t="str">
        <f>Data!C17</f>
        <v>Dragons</v>
      </c>
      <c r="J18" s="2" t="str">
        <f>Data!D17</f>
        <v>Sea Eagles</v>
      </c>
      <c r="K18" s="2" t="str">
        <f>Data!E17</f>
        <v>Rabbitohs</v>
      </c>
      <c r="L18" s="2" t="str">
        <f>IF(Data!$S$3&lt;Engine!L$1,0,Data!F17)</f>
        <v>Storm</v>
      </c>
      <c r="M18" s="2" t="str">
        <f>IF(Data!$S$3&lt;Engine!M$1,0,Data!G17)</f>
        <v>Knights</v>
      </c>
      <c r="N18" s="2" t="str">
        <f>IF(Data!$S$3&lt;Engine!N$1,0,Data!H17)</f>
        <v>Panthers</v>
      </c>
      <c r="O18" s="2" t="str">
        <f>IF(Data!$S$3&lt;Engine!O$1,0,Data!I17)</f>
        <v>Cowboys</v>
      </c>
      <c r="P18" s="2" t="str">
        <f>IF(Data!$S$3&lt;Engine!P$1,0,Data!J17)</f>
        <v>Eels</v>
      </c>
      <c r="Q18" s="17" t="str">
        <f>IF(Data!B17=1,Data!K17,"No Tips")</f>
        <v>Rabbitohs</v>
      </c>
      <c r="R18" s="2">
        <f>Data!L17</f>
        <v>84</v>
      </c>
      <c r="S18" s="2">
        <f>Data!M17</f>
        <v>2292</v>
      </c>
      <c r="T18" s="15">
        <f>IF(I18="","",COUNTIF('Live Ladder'!P:P,I18)+COUNTIF('Live Ladder'!P:P,J18)+COUNTIF('Live Ladder'!P:P,K18)+COUNTIF('Live Ladder'!P:P,L18)+COUNTIF('Live Ladder'!P:P,M18)+COUNTIF('Live Ladder'!P:P,N18)+COUNTIF('Live Ladder'!P:P,O18)+COUNTIF('Live Ladder'!P:P,P18))</f>
        <v>0</v>
      </c>
      <c r="U18" s="15">
        <f>IF(I18="","",IF(COUNTIF('Live Ladder'!P:P,Engine!Q18)=1,2,IF(COUNTIF('Live Ladder'!Q:Q,Engine!Q18)=1,-2,0)))</f>
        <v>0</v>
      </c>
      <c r="V18" s="15">
        <f>IF(I18="","",IF(T18=Data!S$3,2,0))</f>
        <v>0</v>
      </c>
      <c r="W18" s="15">
        <f t="shared" si="11"/>
        <v>0</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Y18">
        <f t="shared" si="17"/>
        <v>84</v>
      </c>
      <c r="Z18">
        <f t="shared" si="12"/>
        <v>2308</v>
      </c>
      <c r="AA18" s="162">
        <f t="shared" si="13"/>
        <v>84.023080078999996</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
      <c r="A19">
        <v>18</v>
      </c>
      <c r="B19">
        <f t="shared" si="0"/>
        <v>79</v>
      </c>
      <c r="C19" s="162">
        <f t="shared" si="8"/>
        <v>44.017230011999999</v>
      </c>
      <c r="D19">
        <f t="shared" si="1"/>
        <v>79</v>
      </c>
      <c r="E19" s="4" t="str">
        <f t="shared" si="9"/>
        <v>u</v>
      </c>
      <c r="F19" t="str">
        <f t="shared" si="10"/>
        <v/>
      </c>
      <c r="G19">
        <v>12</v>
      </c>
      <c r="H19" t="str">
        <f>Data!A84</f>
        <v>Chunka</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f>Data!L84</f>
        <v>44</v>
      </c>
      <c r="S19" s="2">
        <f>Data!M84</f>
        <v>1723</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0</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Y19">
        <f t="shared" si="17"/>
        <v>44</v>
      </c>
      <c r="Z19">
        <f t="shared" si="12"/>
        <v>1739</v>
      </c>
      <c r="AA19" s="162">
        <f t="shared" si="13"/>
        <v>44.017390012</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64</v>
      </c>
      <c r="C20" s="162">
        <f t="shared" si="8"/>
        <v>70.020260077999993</v>
      </c>
      <c r="D20">
        <f t="shared" si="1"/>
        <v>65</v>
      </c>
      <c r="E20" s="4" t="str">
        <f t="shared" si="9"/>
        <v>q</v>
      </c>
      <c r="F20">
        <f t="shared" si="10"/>
        <v>1</v>
      </c>
      <c r="G20">
        <v>78</v>
      </c>
      <c r="H20" t="str">
        <f>Data!A18</f>
        <v>chur_moi</v>
      </c>
      <c r="I20" s="2" t="str">
        <f>Data!C18</f>
        <v>Roosters</v>
      </c>
      <c r="J20" s="2" t="str">
        <f>Data!D18</f>
        <v>Warriors</v>
      </c>
      <c r="K20" s="2" t="str">
        <f>Data!E18</f>
        <v>Broncos</v>
      </c>
      <c r="L20" s="2" t="str">
        <f>IF(Data!$S$3&lt;Engine!L$1,0,Data!F18)</f>
        <v>Storm</v>
      </c>
      <c r="M20" s="2" t="str">
        <f>IF(Data!$S$3&lt;Engine!M$1,0,Data!G18)</f>
        <v>Wests Tigers</v>
      </c>
      <c r="N20" s="2" t="str">
        <f>IF(Data!$S$3&lt;Engine!N$1,0,Data!H18)</f>
        <v>Panthers</v>
      </c>
      <c r="O20" s="2" t="str">
        <f>IF(Data!$S$3&lt;Engine!O$1,0,Data!I18)</f>
        <v>Titans</v>
      </c>
      <c r="P20" s="2" t="str">
        <f>IF(Data!$S$3&lt;Engine!P$1,0,Data!J18)</f>
        <v>Eels</v>
      </c>
      <c r="Q20" s="17" t="str">
        <f>IF(Data!B18=1,Data!K18,"No Tips")</f>
        <v>Storm</v>
      </c>
      <c r="R20" s="2">
        <f>Data!L18</f>
        <v>70</v>
      </c>
      <c r="S20" s="2">
        <f>Data!M18</f>
        <v>2026</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24</v>
      </c>
      <c r="Y20">
        <f t="shared" si="17"/>
        <v>71</v>
      </c>
      <c r="Z20">
        <f t="shared" si="12"/>
        <v>2050</v>
      </c>
      <c r="AA20" s="162">
        <f t="shared" si="13"/>
        <v>71.020500077999998</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24</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69</v>
      </c>
      <c r="C21" s="162">
        <f t="shared" si="8"/>
        <v>62.020600014999999</v>
      </c>
      <c r="D21">
        <f t="shared" si="1"/>
        <v>70</v>
      </c>
      <c r="E21" s="4" t="str">
        <f t="shared" si="9"/>
        <v>q</v>
      </c>
      <c r="F21">
        <f t="shared" si="10"/>
        <v>1</v>
      </c>
      <c r="G21">
        <v>15</v>
      </c>
      <c r="H21" t="str">
        <f>Data!A81</f>
        <v>CricketIsBetter</v>
      </c>
      <c r="I21" s="2" t="str">
        <f>Data!C81</f>
        <v/>
      </c>
      <c r="J21" s="2" t="str">
        <f>Data!D81</f>
        <v/>
      </c>
      <c r="K21" s="2" t="str">
        <f>Data!E81</f>
        <v/>
      </c>
      <c r="L21" s="2" t="str">
        <f>IF(Data!$S$3&lt;Engine!L$1,0,Data!F81)</f>
        <v/>
      </c>
      <c r="M21" s="2" t="str">
        <f>IF(Data!$S$3&lt;Engine!M$1,0,Data!G81)</f>
        <v/>
      </c>
      <c r="N21" s="2" t="str">
        <f>IF(Data!$S$3&lt;Engine!N$1,0,Data!H81)</f>
        <v/>
      </c>
      <c r="O21" s="2" t="str">
        <f>IF(Data!$S$3&lt;Engine!O$1,0,Data!I81)</f>
        <v/>
      </c>
      <c r="P21" s="2" t="str">
        <f>IF(Data!$S$3&lt;Engine!P$1,0,Data!J81)</f>
        <v/>
      </c>
      <c r="Q21" s="17" t="str">
        <f>IF(Data!B81=1,Data!K81,"No Tips")</f>
        <v>No Tips</v>
      </c>
      <c r="R21" s="2">
        <f>Data!L81</f>
        <v>62</v>
      </c>
      <c r="S21" s="2">
        <f>Data!M81</f>
        <v>2060</v>
      </c>
      <c r="T21" s="15" t="str">
        <f>IF(I21="","",COUNTIF('Live Ladder'!P:P,I21)+COUNTIF('Live Ladder'!P:P,J21)+COUNTIF('Live Ladder'!P:P,K21)+COUNTIF('Live Ladder'!P:P,L21)+COUNTIF('Live Ladder'!P:P,M21)+COUNTIF('Live Ladder'!P:P,N21)+COUNTIF('Live Ladder'!P:P,O21)+COUNTIF('Live Ladder'!P:P,P21))</f>
        <v/>
      </c>
      <c r="U21" s="15" t="str">
        <f>IF(I21="","",IF(COUNTIF('Live Ladder'!P:P,Engine!Q21)=1,2,IF(COUNTIF('Live Ladder'!Q:Q,Engine!Q21)=1,-2,0)))</f>
        <v/>
      </c>
      <c r="V21" s="15" t="str">
        <f>IF(I21="","",IF(T21=Data!S$3,2,0))</f>
        <v/>
      </c>
      <c r="W21" s="15">
        <f t="shared" si="11"/>
        <v>0</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Y21">
        <f t="shared" si="17"/>
        <v>62</v>
      </c>
      <c r="Z21">
        <f t="shared" si="12"/>
        <v>2076</v>
      </c>
      <c r="AA21" s="162">
        <f t="shared" si="13"/>
        <v>62.020760015</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
      <c r="A22">
        <v>21</v>
      </c>
      <c r="B22">
        <f t="shared" si="0"/>
        <v>57</v>
      </c>
      <c r="C22" s="162">
        <f t="shared" si="8"/>
        <v>74.02098007699999</v>
      </c>
      <c r="D22">
        <f t="shared" si="1"/>
        <v>57</v>
      </c>
      <c r="E22" s="4" t="str">
        <f t="shared" si="9"/>
        <v>u</v>
      </c>
      <c r="F22" t="str">
        <f t="shared" si="10"/>
        <v/>
      </c>
      <c r="G22">
        <v>77</v>
      </c>
      <c r="H22" t="str">
        <f>Data!A19</f>
        <v>Cruella</v>
      </c>
      <c r="I22" s="2" t="str">
        <f>Data!C19</f>
        <v>Roosters</v>
      </c>
      <c r="J22" s="2" t="str">
        <f>Data!D19</f>
        <v>Warriors</v>
      </c>
      <c r="K22" s="2" t="str">
        <f>Data!E19</f>
        <v>Rabbitohs</v>
      </c>
      <c r="L22" s="2" t="str">
        <f>IF(Data!$S$3&lt;Engine!L$1,0,Data!F19)</f>
        <v>Storm</v>
      </c>
      <c r="M22" s="2" t="str">
        <f>IF(Data!$S$3&lt;Engine!M$1,0,Data!G19)</f>
        <v>Wests Tigers</v>
      </c>
      <c r="N22" s="2" t="str">
        <f>IF(Data!$S$3&lt;Engine!N$1,0,Data!H19)</f>
        <v>Panthers</v>
      </c>
      <c r="O22" s="2" t="str">
        <f>IF(Data!$S$3&lt;Engine!O$1,0,Data!I19)</f>
        <v>Cowboys</v>
      </c>
      <c r="P22" s="2" t="str">
        <f>IF(Data!$S$3&lt;Engine!P$1,0,Data!J19)</f>
        <v>Eels</v>
      </c>
      <c r="Q22" s="17" t="str">
        <f>IF(Data!B19=1,Data!K19,"No Tips")</f>
        <v>Storm</v>
      </c>
      <c r="R22" s="2">
        <f>Data!L19</f>
        <v>74</v>
      </c>
      <c r="S22" s="2">
        <f>Data!M19</f>
        <v>2098</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0</v>
      </c>
      <c r="V22" s="15">
        <f>IF(I22="","",IF(T22=Data!S$3,2,0))</f>
        <v>0</v>
      </c>
      <c r="W22" s="15">
        <f t="shared" si="11"/>
        <v>1</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24</v>
      </c>
      <c r="Y22">
        <f t="shared" si="17"/>
        <v>75</v>
      </c>
      <c r="Z22">
        <f t="shared" si="12"/>
        <v>2122</v>
      </c>
      <c r="AA22" s="162">
        <f t="shared" si="13"/>
        <v>75.021220076999995</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24</v>
      </c>
      <c r="AF22">
        <f>IF(I22="","",IF(Q22="",0,IF(AND(Q22&gt;0,COUNTIF('Stats Calculator'!$T$24:$AA$24,Q22)=1),HLOOKUP(Q22,'Stats Calculator'!$T$24:$AA$27,4,FALSE),IF(AND(Q22&gt;0,COUNTIF('Stats Calculator'!$T$25:$AA$25,Q22)=1),HLOOKUP(Q22,'Stats Calculator'!$T$25:$AA$27,3,FALSE)))))</f>
        <v>4</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6</v>
      </c>
      <c r="C23" s="162">
        <f t="shared" si="8"/>
        <v>91.023140076000004</v>
      </c>
      <c r="D23">
        <f t="shared" si="1"/>
        <v>6</v>
      </c>
      <c r="E23" s="4" t="str">
        <f t="shared" si="9"/>
        <v>u</v>
      </c>
      <c r="F23" t="str">
        <f t="shared" si="10"/>
        <v/>
      </c>
      <c r="G23">
        <v>76</v>
      </c>
      <c r="H23" t="str">
        <f>Data!A20</f>
        <v>DaveM</v>
      </c>
      <c r="I23" s="2" t="str">
        <f>Data!C20</f>
        <v>Roosters</v>
      </c>
      <c r="J23" s="2" t="str">
        <f>Data!D20</f>
        <v>Sea Eagles</v>
      </c>
      <c r="K23" s="2" t="str">
        <f>Data!E20</f>
        <v>Rabbitohs</v>
      </c>
      <c r="L23" s="2" t="str">
        <f>IF(Data!$S$3&lt;Engine!L$1,0,Data!F20)</f>
        <v>Storm</v>
      </c>
      <c r="M23" s="2" t="str">
        <f>IF(Data!$S$3&lt;Engine!M$1,0,Data!G20)</f>
        <v>Knights</v>
      </c>
      <c r="N23" s="2" t="str">
        <f>IF(Data!$S$3&lt;Engine!N$1,0,Data!H20)</f>
        <v>Panthers</v>
      </c>
      <c r="O23" s="2" t="str">
        <f>IF(Data!$S$3&lt;Engine!O$1,0,Data!I20)</f>
        <v>Cowboys</v>
      </c>
      <c r="P23" s="2" t="str">
        <f>IF(Data!$S$3&lt;Engine!P$1,0,Data!J20)</f>
        <v>Eels</v>
      </c>
      <c r="Q23" s="17" t="str">
        <f>IF(Data!B20=1,Data!K20,"No Tips")</f>
        <v>Storm</v>
      </c>
      <c r="R23" s="2">
        <f>Data!L20</f>
        <v>91</v>
      </c>
      <c r="S23" s="2">
        <f>Data!M20</f>
        <v>2314</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0</v>
      </c>
      <c r="V23" s="15">
        <f>IF(I23="","",IF(T23=Data!S$3,2,0))</f>
        <v>0</v>
      </c>
      <c r="W23" s="15">
        <f t="shared" si="11"/>
        <v>1</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24</v>
      </c>
      <c r="Y23">
        <f t="shared" si="17"/>
        <v>92</v>
      </c>
      <c r="Z23">
        <f t="shared" si="12"/>
        <v>2338</v>
      </c>
      <c r="AA23" s="162">
        <f t="shared" si="13"/>
        <v>92.023380076000009</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24</v>
      </c>
      <c r="AF23">
        <f>IF(I23="","",IF(Q23="",0,IF(AND(Q23&gt;0,COUNTIF('Stats Calculator'!$T$24:$AA$24,Q23)=1),HLOOKUP(Q23,'Stats Calculator'!$T$24:$AA$27,4,FALSE),IF(AND(Q23&gt;0,COUNTIF('Stats Calculator'!$T$25:$AA$25,Q23)=1),HLOOKUP(Q23,'Stats Calculator'!$T$25:$AA$27,3,FALSE)))))</f>
        <v>4</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
      <c r="A24">
        <v>23</v>
      </c>
      <c r="B24">
        <f t="shared" si="0"/>
        <v>81</v>
      </c>
      <c r="C24" s="162">
        <f t="shared" si="8"/>
        <v>31.016390075</v>
      </c>
      <c r="D24">
        <f t="shared" si="1"/>
        <v>81</v>
      </c>
      <c r="E24" s="4" t="str">
        <f t="shared" si="9"/>
        <v>u</v>
      </c>
      <c r="F24" t="str">
        <f t="shared" si="10"/>
        <v/>
      </c>
      <c r="G24">
        <v>75</v>
      </c>
      <c r="H24" t="str">
        <f>Data!A21</f>
        <v>Dizzler</v>
      </c>
      <c r="I24" s="2" t="str">
        <f>Data!C21</f>
        <v/>
      </c>
      <c r="J24" s="2" t="str">
        <f>Data!D21</f>
        <v/>
      </c>
      <c r="K24" s="2" t="str">
        <f>Data!E21</f>
        <v/>
      </c>
      <c r="L24" s="2" t="str">
        <f>IF(Data!$S$3&lt;Engine!L$1,0,Data!F21)</f>
        <v/>
      </c>
      <c r="M24" s="2" t="str">
        <f>IF(Data!$S$3&lt;Engine!M$1,0,Data!G21)</f>
        <v/>
      </c>
      <c r="N24" s="2" t="str">
        <f>IF(Data!$S$3&lt;Engine!N$1,0,Data!H21)</f>
        <v/>
      </c>
      <c r="O24" s="2" t="str">
        <f>IF(Data!$S$3&lt;Engine!O$1,0,Data!I21)</f>
        <v/>
      </c>
      <c r="P24" s="2" t="str">
        <f>IF(Data!$S$3&lt;Engine!P$1,0,Data!J21)</f>
        <v/>
      </c>
      <c r="Q24" s="17" t="str">
        <f>IF(Data!B21=1,Data!K21,"No Tips")</f>
        <v>No Tips</v>
      </c>
      <c r="R24" s="2">
        <f>Data!L21</f>
        <v>31</v>
      </c>
      <c r="S24" s="2">
        <f>Data!M21</f>
        <v>1639</v>
      </c>
      <c r="T24" s="15" t="str">
        <f>IF(I24="","",COUNTIF('Live Ladder'!P:P,I24)+COUNTIF('Live Ladder'!P:P,J24)+COUNTIF('Live Ladder'!P:P,K24)+COUNTIF('Live Ladder'!P:P,L24)+COUNTIF('Live Ladder'!P:P,M24)+COUNTIF('Live Ladder'!P:P,N24)+COUNTIF('Live Ladder'!P:P,O24)+COUNTIF('Live Ladder'!P:P,P24))</f>
        <v/>
      </c>
      <c r="U24" s="15" t="str">
        <f>IF(I24="","",IF(COUNTIF('Live Ladder'!P:P,Engine!Q24)=1,2,IF(COUNTIF('Live Ladder'!Q:Q,Engine!Q24)=1,-2,0)))</f>
        <v/>
      </c>
      <c r="V24" s="15" t="str">
        <f>IF(I24="","",IF(T24=Data!S$3,2,0))</f>
        <v/>
      </c>
      <c r="W24" s="15">
        <f t="shared" si="11"/>
        <v>0</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Y24">
        <f t="shared" si="17"/>
        <v>31</v>
      </c>
      <c r="Z24">
        <f t="shared" si="12"/>
        <v>1655</v>
      </c>
      <c r="AA24" s="162">
        <f t="shared" si="13"/>
        <v>31.016550074999998</v>
      </c>
      <c r="AB24">
        <f t="shared" si="16"/>
        <v>0</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
      <c r="A25">
        <v>24</v>
      </c>
      <c r="B25">
        <f t="shared" si="0"/>
        <v>52</v>
      </c>
      <c r="C25" s="162">
        <f t="shared" si="8"/>
        <v>76.021850074</v>
      </c>
      <c r="D25">
        <f t="shared" si="1"/>
        <v>52</v>
      </c>
      <c r="E25" s="4" t="str">
        <f t="shared" si="9"/>
        <v>u</v>
      </c>
      <c r="F25" t="str">
        <f t="shared" si="10"/>
        <v/>
      </c>
      <c r="G25">
        <v>74</v>
      </c>
      <c r="H25" t="str">
        <f>Data!A22</f>
        <v>DragonDazz</v>
      </c>
      <c r="I25" s="2" t="str">
        <f>Data!C22</f>
        <v>Roosters</v>
      </c>
      <c r="J25" s="2" t="str">
        <f>Data!D22</f>
        <v>Sea Eagles</v>
      </c>
      <c r="K25" s="2" t="str">
        <f>Data!E22</f>
        <v>Rabbitohs</v>
      </c>
      <c r="L25" s="2" t="str">
        <f>IF(Data!$S$3&lt;Engine!L$1,0,Data!F22)</f>
        <v>Storm</v>
      </c>
      <c r="M25" s="2" t="str">
        <f>IF(Data!$S$3&lt;Engine!M$1,0,Data!G22)</f>
        <v>Wests Tigers</v>
      </c>
      <c r="N25" s="2" t="str">
        <f>IF(Data!$S$3&lt;Engine!N$1,0,Data!H22)</f>
        <v>Panthers</v>
      </c>
      <c r="O25" s="2" t="str">
        <f>IF(Data!$S$3&lt;Engine!O$1,0,Data!I22)</f>
        <v>Titans</v>
      </c>
      <c r="P25" s="2" t="str">
        <f>IF(Data!$S$3&lt;Engine!P$1,0,Data!J22)</f>
        <v>Eels</v>
      </c>
      <c r="Q25" s="17" t="str">
        <f>IF(Data!B22=1,Data!K22,"No Tips")</f>
        <v>Rabbitohs</v>
      </c>
      <c r="R25" s="2">
        <f>Data!L22</f>
        <v>76</v>
      </c>
      <c r="S25" s="2">
        <f>Data!M22</f>
        <v>2185</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24</v>
      </c>
      <c r="Y25">
        <f t="shared" si="17"/>
        <v>77</v>
      </c>
      <c r="Z25">
        <f t="shared" si="12"/>
        <v>2209</v>
      </c>
      <c r="AA25" s="162">
        <f t="shared" si="13"/>
        <v>77.022090074000005</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24</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17</v>
      </c>
      <c r="C26" s="162">
        <f t="shared" si="8"/>
        <v>89.021870073000002</v>
      </c>
      <c r="D26">
        <f t="shared" si="1"/>
        <v>18</v>
      </c>
      <c r="E26" s="4" t="str">
        <f t="shared" si="9"/>
        <v>q</v>
      </c>
      <c r="F26">
        <f t="shared" si="10"/>
        <v>1</v>
      </c>
      <c r="G26">
        <v>73</v>
      </c>
      <c r="H26" t="str">
        <f>Data!A23</f>
        <v>gdadisho</v>
      </c>
      <c r="I26" s="2" t="str">
        <f>Data!C23</f>
        <v>Roosters</v>
      </c>
      <c r="J26" s="2" t="str">
        <f>Data!D23</f>
        <v>Sea Eagles</v>
      </c>
      <c r="K26" s="2" t="str">
        <f>Data!E23</f>
        <v>Rabbitohs</v>
      </c>
      <c r="L26" s="2" t="str">
        <f>IF(Data!$S$3&lt;Engine!L$1,0,Data!F23)</f>
        <v>Storm</v>
      </c>
      <c r="M26" s="2" t="str">
        <f>IF(Data!$S$3&lt;Engine!M$1,0,Data!G23)</f>
        <v>Knights</v>
      </c>
      <c r="N26" s="2" t="str">
        <f>IF(Data!$S$3&lt;Engine!N$1,0,Data!H23)</f>
        <v>Raiders</v>
      </c>
      <c r="O26" s="2" t="str">
        <f>IF(Data!$S$3&lt;Engine!O$1,0,Data!I23)</f>
        <v>Cowboys</v>
      </c>
      <c r="P26" s="2" t="str">
        <f>IF(Data!$S$3&lt;Engine!P$1,0,Data!J23)</f>
        <v>Eels</v>
      </c>
      <c r="Q26" s="17" t="str">
        <f>IF(Data!B23=1,Data!K23,"No Tips")</f>
        <v>Storm</v>
      </c>
      <c r="R26" s="2">
        <f>Data!L23</f>
        <v>89</v>
      </c>
      <c r="S26" s="2">
        <f>Data!M23</f>
        <v>2187</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0</v>
      </c>
      <c r="V26" s="15">
        <f>IF(I26="","",IF(T26=Data!S$3,2,0))</f>
        <v>0</v>
      </c>
      <c r="W26" s="15">
        <f t="shared" si="11"/>
        <v>1</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24</v>
      </c>
      <c r="Y26">
        <f t="shared" si="17"/>
        <v>90</v>
      </c>
      <c r="Z26">
        <f t="shared" si="12"/>
        <v>2211</v>
      </c>
      <c r="AA26" s="162">
        <f t="shared" si="13"/>
        <v>90.022110072999993</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24</v>
      </c>
      <c r="AF26">
        <f>IF(I26="","",IF(Q26="",0,IF(AND(Q26&gt;0,COUNTIF('Stats Calculator'!$T$24:$AA$24,Q26)=1),HLOOKUP(Q26,'Stats Calculator'!$T$24:$AA$27,4,FALSE),IF(AND(Q26&gt;0,COUNTIF('Stats Calculator'!$T$25:$AA$25,Q26)=1),HLOOKUP(Q26,'Stats Calculator'!$T$25:$AA$27,3,FALSE)))))</f>
        <v>4</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26</v>
      </c>
      <c r="C27" s="162">
        <f t="shared" si="8"/>
        <v>87.021630072000008</v>
      </c>
      <c r="D27">
        <f t="shared" si="1"/>
        <v>30</v>
      </c>
      <c r="E27" s="4" t="str">
        <f t="shared" si="9"/>
        <v>q</v>
      </c>
      <c r="F27">
        <f t="shared" si="10"/>
        <v>4</v>
      </c>
      <c r="G27">
        <v>72</v>
      </c>
      <c r="H27" t="str">
        <f>Data!A24</f>
        <v>GeorgeTheDragon</v>
      </c>
      <c r="I27" s="2" t="str">
        <f>Data!C24</f>
        <v>Dragons</v>
      </c>
      <c r="J27" s="2" t="str">
        <f>Data!D24</f>
        <v>Sea Eagles</v>
      </c>
      <c r="K27" s="2" t="str">
        <f>Data!E24</f>
        <v>Rabbitohs</v>
      </c>
      <c r="L27" s="2" t="str">
        <f>IF(Data!$S$3&lt;Engine!L$1,0,Data!F24)</f>
        <v>Storm</v>
      </c>
      <c r="M27" s="2" t="str">
        <f>IF(Data!$S$3&lt;Engine!M$1,0,Data!G24)</f>
        <v>Knights</v>
      </c>
      <c r="N27" s="2" t="str">
        <f>IF(Data!$S$3&lt;Engine!N$1,0,Data!H24)</f>
        <v>Panthers</v>
      </c>
      <c r="O27" s="2" t="str">
        <f>IF(Data!$S$3&lt;Engine!O$1,0,Data!I24)</f>
        <v>Cowboys</v>
      </c>
      <c r="P27" s="2" t="str">
        <f>IF(Data!$S$3&lt;Engine!P$1,0,Data!J24)</f>
        <v>Sharks</v>
      </c>
      <c r="Q27" s="17" t="str">
        <f>IF(Data!B24=1,Data!K24,"No Tips")</f>
        <v>Storm</v>
      </c>
      <c r="R27" s="2">
        <f>Data!L24</f>
        <v>87</v>
      </c>
      <c r="S27" s="2">
        <f>Data!M24</f>
        <v>2163</v>
      </c>
      <c r="T27" s="15">
        <f>IF(I27="","",COUNTIF('Live Ladder'!P:P,I27)+COUNTIF('Live Ladder'!P:P,J27)+COUNTIF('Live Ladder'!P:P,K27)+COUNTIF('Live Ladder'!P:P,L27)+COUNTIF('Live Ladder'!P:P,M27)+COUNTIF('Live Ladder'!P:P,N27)+COUNTIF('Live Ladder'!P:P,O27)+COUNTIF('Live Ladder'!P:P,P27))</f>
        <v>0</v>
      </c>
      <c r="U27" s="15">
        <f>IF(I27="","",IF(COUNTIF('Live Ladder'!P:P,Engine!Q27)=1,2,IF(COUNTIF('Live Ladder'!Q:Q,Engine!Q27)=1,-2,0)))</f>
        <v>0</v>
      </c>
      <c r="V27" s="15">
        <f>IF(I27="","",IF(T27=Data!S$3,2,0))</f>
        <v>0</v>
      </c>
      <c r="W27" s="15">
        <f t="shared" si="11"/>
        <v>0</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Y27">
        <f t="shared" si="17"/>
        <v>87</v>
      </c>
      <c r="Z27">
        <f t="shared" si="12"/>
        <v>2179</v>
      </c>
      <c r="AA27" s="162">
        <f t="shared" si="13"/>
        <v>87.021790072000002</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25</v>
      </c>
      <c r="C28" s="162">
        <f t="shared" si="8"/>
        <v>87.022190070999997</v>
      </c>
      <c r="D28">
        <f t="shared" si="1"/>
        <v>29</v>
      </c>
      <c r="E28" s="4" t="str">
        <f t="shared" si="9"/>
        <v>q</v>
      </c>
      <c r="F28">
        <f t="shared" si="10"/>
        <v>4</v>
      </c>
      <c r="G28">
        <v>71</v>
      </c>
      <c r="H28" t="str">
        <f>Data!A25</f>
        <v>Gerehu3B</v>
      </c>
      <c r="I28" s="2" t="str">
        <f>Data!C25</f>
        <v>Dragons</v>
      </c>
      <c r="J28" s="2" t="str">
        <f>Data!D25</f>
        <v>Sea Eagles</v>
      </c>
      <c r="K28" s="2" t="str">
        <f>Data!E25</f>
        <v>Rabbitohs</v>
      </c>
      <c r="L28" s="2" t="str">
        <f>IF(Data!$S$3&lt;Engine!L$1,0,Data!F25)</f>
        <v>Storm</v>
      </c>
      <c r="M28" s="2" t="str">
        <f>IF(Data!$S$3&lt;Engine!M$1,0,Data!G25)</f>
        <v>Knights</v>
      </c>
      <c r="N28" s="2" t="str">
        <f>IF(Data!$S$3&lt;Engine!N$1,0,Data!H25)</f>
        <v>Panthers</v>
      </c>
      <c r="O28" s="2" t="str">
        <f>IF(Data!$S$3&lt;Engine!O$1,0,Data!I25)</f>
        <v>Titans</v>
      </c>
      <c r="P28" s="2" t="str">
        <f>IF(Data!$S$3&lt;Engine!P$1,0,Data!J25)</f>
        <v>Sharks</v>
      </c>
      <c r="Q28" s="17" t="str">
        <f>IF(Data!B25=1,Data!K25,"No Tips")</f>
        <v>Storm</v>
      </c>
      <c r="R28" s="2">
        <f>Data!L25</f>
        <v>87</v>
      </c>
      <c r="S28" s="2">
        <f>Data!M25</f>
        <v>2219</v>
      </c>
      <c r="T28" s="15">
        <f>IF(I28="","",COUNTIF('Live Ladder'!P:P,I28)+COUNTIF('Live Ladder'!P:P,J28)+COUNTIF('Live Ladder'!P:P,K28)+COUNTIF('Live Ladder'!P:P,L28)+COUNTIF('Live Ladder'!P:P,M28)+COUNTIF('Live Ladder'!P:P,N28)+COUNTIF('Live Ladder'!P:P,O28)+COUNTIF('Live Ladder'!P:P,P28))</f>
        <v>0</v>
      </c>
      <c r="U28" s="15">
        <f>IF(I28="","",IF(COUNTIF('Live Ladder'!P:P,Engine!Q28)=1,2,IF(COUNTIF('Live Ladder'!Q:Q,Engine!Q28)=1,-2,0)))</f>
        <v>0</v>
      </c>
      <c r="V28" s="15">
        <f>IF(I28="","",IF(T28=Data!S$3,2,0))</f>
        <v>0</v>
      </c>
      <c r="W28" s="15">
        <f t="shared" si="11"/>
        <v>0</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Y28">
        <f t="shared" si="17"/>
        <v>87</v>
      </c>
      <c r="Z28">
        <f t="shared" si="12"/>
        <v>2235</v>
      </c>
      <c r="AA28" s="162">
        <f t="shared" si="13"/>
        <v>87.022350071000005</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AF28">
        <f>IF(I28="","",IF(Q28="",0,IF(AND(Q28&gt;0,COUNTIF('Stats Calculator'!$T$24:$AA$24,Q28)=1),HLOOKUP(Q28,'Stats Calculator'!$T$24:$AA$27,4,FALSE),IF(AND(Q28&gt;0,COUNTIF('Stats Calculator'!$T$25:$AA$25,Q28)=1),HLOOKUP(Q28,'Stats Calculator'!$T$25:$AA$27,3,FALSE)))))</f>
        <v>4</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
      <c r="A29">
        <v>28</v>
      </c>
      <c r="B29">
        <f t="shared" si="0"/>
        <v>83</v>
      </c>
      <c r="C29" s="162">
        <f t="shared" si="8"/>
        <v>23.015750069999999</v>
      </c>
      <c r="D29">
        <f t="shared" si="1"/>
        <v>83</v>
      </c>
      <c r="E29" s="4" t="str">
        <f t="shared" si="9"/>
        <v>u</v>
      </c>
      <c r="F29" t="str">
        <f t="shared" si="10"/>
        <v/>
      </c>
      <c r="G29">
        <v>70</v>
      </c>
      <c r="H29" t="str">
        <f>Data!A26</f>
        <v>Guru</v>
      </c>
      <c r="I29" s="2" t="str">
        <f>Data!C26</f>
        <v/>
      </c>
      <c r="J29" s="2" t="str">
        <f>Data!D26</f>
        <v/>
      </c>
      <c r="K29" s="2" t="str">
        <f>Data!E26</f>
        <v/>
      </c>
      <c r="L29" s="2" t="str">
        <f>IF(Data!$S$3&lt;Engine!L$1,0,Data!F26)</f>
        <v/>
      </c>
      <c r="M29" s="2" t="str">
        <f>IF(Data!$S$3&lt;Engine!M$1,0,Data!G26)</f>
        <v/>
      </c>
      <c r="N29" s="2" t="str">
        <f>IF(Data!$S$3&lt;Engine!N$1,0,Data!H26)</f>
        <v/>
      </c>
      <c r="O29" s="2" t="str">
        <f>IF(Data!$S$3&lt;Engine!O$1,0,Data!I26)</f>
        <v/>
      </c>
      <c r="P29" s="2" t="str">
        <f>IF(Data!$S$3&lt;Engine!P$1,0,Data!J26)</f>
        <v/>
      </c>
      <c r="Q29" s="17" t="str">
        <f>IF(Data!B26=1,Data!K26,"No Tips")</f>
        <v>No Tips</v>
      </c>
      <c r="R29" s="2">
        <f>Data!L26</f>
        <v>23</v>
      </c>
      <c r="S29" s="2">
        <f>Data!M26</f>
        <v>1575</v>
      </c>
      <c r="T29" s="15" t="str">
        <f>IF(I29="","",COUNTIF('Live Ladder'!P:P,I29)+COUNTIF('Live Ladder'!P:P,J29)+COUNTIF('Live Ladder'!P:P,K29)+COUNTIF('Live Ladder'!P:P,L29)+COUNTIF('Live Ladder'!P:P,M29)+COUNTIF('Live Ladder'!P:P,N29)+COUNTIF('Live Ladder'!P:P,O29)+COUNTIF('Live Ladder'!P:P,P29))</f>
        <v/>
      </c>
      <c r="U29" s="15" t="str">
        <f>IF(I29="","",IF(COUNTIF('Live Ladder'!P:P,Engine!Q29)=1,2,IF(COUNTIF('Live Ladder'!Q:Q,Engine!Q29)=1,-2,0)))</f>
        <v/>
      </c>
      <c r="V29" s="15" t="str">
        <f>IF(I29="","",IF(T29=Data!S$3,2,0))</f>
        <v/>
      </c>
      <c r="W29" s="15">
        <f t="shared" si="11"/>
        <v>0</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16</v>
      </c>
      <c r="Y29">
        <f t="shared" si="17"/>
        <v>23</v>
      </c>
      <c r="Z29">
        <f t="shared" si="12"/>
        <v>1591</v>
      </c>
      <c r="AA29" s="162">
        <f t="shared" si="13"/>
        <v>23.01591007</v>
      </c>
      <c r="AB29">
        <f t="shared" si="16"/>
        <v>0</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
      <c r="A30">
        <v>29</v>
      </c>
      <c r="B30">
        <f t="shared" si="0"/>
        <v>16</v>
      </c>
      <c r="C30" s="162">
        <f t="shared" si="8"/>
        <v>89.022500068999989</v>
      </c>
      <c r="D30">
        <f t="shared" si="1"/>
        <v>17</v>
      </c>
      <c r="E30" s="4" t="str">
        <f t="shared" si="9"/>
        <v>q</v>
      </c>
      <c r="F30">
        <f t="shared" si="10"/>
        <v>1</v>
      </c>
      <c r="G30">
        <v>69</v>
      </c>
      <c r="H30" t="str">
        <f>Data!A27</f>
        <v>Guru2810</v>
      </c>
      <c r="I30" s="2" t="str">
        <f>Data!C27</f>
        <v>Roosters</v>
      </c>
      <c r="J30" s="2" t="str">
        <f>Data!D27</f>
        <v>Sea Eagles</v>
      </c>
      <c r="K30" s="2" t="str">
        <f>Data!E27</f>
        <v>Rabbitohs</v>
      </c>
      <c r="L30" s="2" t="str">
        <f>IF(Data!$S$3&lt;Engine!L$1,0,Data!F27)</f>
        <v>Storm</v>
      </c>
      <c r="M30" s="2" t="str">
        <f>IF(Data!$S$3&lt;Engine!M$1,0,Data!G27)</f>
        <v>Knights</v>
      </c>
      <c r="N30" s="2" t="str">
        <f>IF(Data!$S$3&lt;Engine!N$1,0,Data!H27)</f>
        <v>Panthers</v>
      </c>
      <c r="O30" s="2" t="str">
        <f>IF(Data!$S$3&lt;Engine!O$1,0,Data!I27)</f>
        <v>Titans</v>
      </c>
      <c r="P30" s="2" t="str">
        <f>IF(Data!$S$3&lt;Engine!P$1,0,Data!J27)</f>
        <v>Eels</v>
      </c>
      <c r="Q30" s="17" t="str">
        <f>IF(Data!B27=1,Data!K27,"No Tips")</f>
        <v>Storm</v>
      </c>
      <c r="R30" s="2">
        <f>Data!L27</f>
        <v>89</v>
      </c>
      <c r="S30" s="2">
        <f>Data!M27</f>
        <v>2250</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0</v>
      </c>
      <c r="V30" s="15">
        <f>IF(I30="","",IF(T30=Data!S$3,2,0))</f>
        <v>0</v>
      </c>
      <c r="W30" s="15">
        <f t="shared" si="11"/>
        <v>1</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24</v>
      </c>
      <c r="Y30">
        <f t="shared" si="17"/>
        <v>90</v>
      </c>
      <c r="Z30">
        <f t="shared" si="12"/>
        <v>2274</v>
      </c>
      <c r="AA30" s="162">
        <f t="shared" si="13"/>
        <v>90.022740068999994</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24</v>
      </c>
      <c r="AF30">
        <f>IF(I30="","",IF(Q30="",0,IF(AND(Q30&gt;0,COUNTIF('Stats Calculator'!$T$24:$AA$24,Q30)=1),HLOOKUP(Q30,'Stats Calculator'!$T$24:$AA$27,4,FALSE),IF(AND(Q30&gt;0,COUNTIF('Stats Calculator'!$T$25:$AA$25,Q30)=1),HLOOKUP(Q30,'Stats Calculator'!$T$25:$AA$27,3,FALSE)))))</f>
        <v>4</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6" customFormat="1" x14ac:dyDescent="0.3">
      <c r="A31">
        <v>30</v>
      </c>
      <c r="B31">
        <f t="shared" si="0"/>
        <v>60</v>
      </c>
      <c r="C31" s="162">
        <f t="shared" si="8"/>
        <v>71.02128006800001</v>
      </c>
      <c r="D31">
        <f t="shared" si="1"/>
        <v>59</v>
      </c>
      <c r="E31" s="4" t="str">
        <f t="shared" si="9"/>
        <v>p</v>
      </c>
      <c r="F31">
        <f t="shared" si="10"/>
        <v>1</v>
      </c>
      <c r="G31">
        <v>68</v>
      </c>
      <c r="H31" t="str">
        <f>Data!A28</f>
        <v>Ian from Dublin</v>
      </c>
      <c r="I31" s="2" t="str">
        <f>Data!C28</f>
        <v>Roosters</v>
      </c>
      <c r="J31" s="2" t="str">
        <f>Data!D28</f>
        <v>Warriors</v>
      </c>
      <c r="K31" s="2" t="str">
        <f>Data!E28</f>
        <v>Rabbitohs</v>
      </c>
      <c r="L31" s="2" t="str">
        <f>IF(Data!$S$3&lt;Engine!L$1,0,Data!F28)</f>
        <v>Storm</v>
      </c>
      <c r="M31" s="2" t="str">
        <f>IF(Data!$S$3&lt;Engine!M$1,0,Data!G28)</f>
        <v>Knights</v>
      </c>
      <c r="N31" s="2" t="str">
        <f>IF(Data!$S$3&lt;Engine!N$1,0,Data!H28)</f>
        <v>Panthers</v>
      </c>
      <c r="O31" s="2" t="str">
        <f>IF(Data!$S$3&lt;Engine!O$1,0,Data!I28)</f>
        <v>Cowboys</v>
      </c>
      <c r="P31" s="2" t="str">
        <f>IF(Data!$S$3&lt;Engine!P$1,0,Data!J28)</f>
        <v>Eels</v>
      </c>
      <c r="Q31" s="17" t="str">
        <f>IF(Data!B28=1,Data!K28,"No Tips")</f>
        <v>Roosters</v>
      </c>
      <c r="R31" s="2">
        <f>Data!L28</f>
        <v>71</v>
      </c>
      <c r="S31" s="2">
        <f>Data!M28</f>
        <v>2128</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2</v>
      </c>
      <c r="V31" s="15">
        <f>IF(I31="","",IF(T31=Data!S$3,2,0))</f>
        <v>0</v>
      </c>
      <c r="W31" s="15">
        <f t="shared" si="11"/>
        <v>3</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24</v>
      </c>
      <c r="Y31">
        <f t="shared" si="17"/>
        <v>74</v>
      </c>
      <c r="Z31">
        <f t="shared" si="12"/>
        <v>2152</v>
      </c>
      <c r="AA31" s="162">
        <f t="shared" si="13"/>
        <v>74.021520068000001</v>
      </c>
      <c r="AB31">
        <f t="shared" si="1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24</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7</v>
      </c>
      <c r="AJ31">
        <f>IF(I31="","",IF(AF31=0,0,IF(VLOOKUP(AF31,'Stats Calculator'!B$31:E$38,4,FALSE)&gt;0,0,2)))</f>
        <v>0</v>
      </c>
      <c r="AK31">
        <f>IF(I31="","",IF(Data!S$3-Engine!AI31=AG31,2,0))</f>
        <v>2</v>
      </c>
      <c r="AL31">
        <f t="shared" si="14"/>
        <v>12</v>
      </c>
    </row>
    <row r="32" spans="1:38" x14ac:dyDescent="0.3">
      <c r="A32">
        <v>31</v>
      </c>
      <c r="B32">
        <f t="shared" si="0"/>
        <v>48</v>
      </c>
      <c r="C32" s="162">
        <f t="shared" si="8"/>
        <v>79.021430066999997</v>
      </c>
      <c r="D32">
        <f t="shared" si="1"/>
        <v>48</v>
      </c>
      <c r="E32" s="4" t="str">
        <f t="shared" si="9"/>
        <v>u</v>
      </c>
      <c r="F32" t="str">
        <f t="shared" si="10"/>
        <v/>
      </c>
      <c r="G32">
        <v>67</v>
      </c>
      <c r="H32" t="str">
        <f>Data!A29</f>
        <v>iKana675</v>
      </c>
      <c r="I32" s="2" t="str">
        <f>Data!C29</f>
        <v/>
      </c>
      <c r="J32" s="2" t="str">
        <f>Data!D29</f>
        <v/>
      </c>
      <c r="K32" s="2" t="str">
        <f>Data!E29</f>
        <v/>
      </c>
      <c r="L32" s="2" t="str">
        <f>IF(Data!$S$3&lt;Engine!L$1,0,Data!F29)</f>
        <v/>
      </c>
      <c r="M32" s="2" t="str">
        <f>IF(Data!$S$3&lt;Engine!M$1,0,Data!G29)</f>
        <v/>
      </c>
      <c r="N32" s="2" t="str">
        <f>IF(Data!$S$3&lt;Engine!N$1,0,Data!H29)</f>
        <v/>
      </c>
      <c r="O32" s="2" t="str">
        <f>IF(Data!$S$3&lt;Engine!O$1,0,Data!I29)</f>
        <v/>
      </c>
      <c r="P32" s="2" t="str">
        <f>IF(Data!$S$3&lt;Engine!P$1,0,Data!J29)</f>
        <v/>
      </c>
      <c r="Q32" s="17" t="str">
        <f>IF(Data!B29=1,Data!K29,"No Tips")</f>
        <v>No Tips</v>
      </c>
      <c r="R32" s="2">
        <f>Data!L29</f>
        <v>79</v>
      </c>
      <c r="S32" s="2">
        <f>Data!M29</f>
        <v>2143</v>
      </c>
      <c r="T32" s="15" t="str">
        <f>IF(I32="","",COUNTIF('Live Ladder'!P:P,I32)+COUNTIF('Live Ladder'!P:P,J32)+COUNTIF('Live Ladder'!P:P,K32)+COUNTIF('Live Ladder'!P:P,L32)+COUNTIF('Live Ladder'!P:P,M32)+COUNTIF('Live Ladder'!P:P,N32)+COUNTIF('Live Ladder'!P:P,O32)+COUNTIF('Live Ladder'!P:P,P32))</f>
        <v/>
      </c>
      <c r="U32" s="15" t="str">
        <f>IF(I32="","",IF(COUNTIF('Live Ladder'!P:P,Engine!Q32)=1,2,IF(COUNTIF('Live Ladder'!Q:Q,Engine!Q32)=1,-2,0)))</f>
        <v/>
      </c>
      <c r="V32" s="15" t="str">
        <f>IF(I32="","",IF(T32=Data!S$3,2,0))</f>
        <v/>
      </c>
      <c r="W32" s="15">
        <f t="shared" si="11"/>
        <v>0</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Y32">
        <f t="shared" si="17"/>
        <v>79</v>
      </c>
      <c r="Z32">
        <f t="shared" si="12"/>
        <v>2159</v>
      </c>
      <c r="AA32" s="162">
        <f t="shared" si="13"/>
        <v>79.021590067000005</v>
      </c>
      <c r="AB32">
        <f t="shared" si="16"/>
        <v>0</v>
      </c>
      <c r="AC32" t="str">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
      </c>
      <c r="AF32" t="str">
        <f>IF(I32="","",IF(Q32="",0,IF(AND(Q32&gt;0,COUNTIF('Stats Calculator'!$T$24:$AA$24,Q32)=1),HLOOKUP(Q32,'Stats Calculator'!$T$24:$AA$27,4,FALSE),IF(AND(Q32&gt;0,COUNTIF('Stats Calculator'!$T$25:$AA$25,Q32)=1),HLOOKUP(Q32,'Stats Calculator'!$T$25:$AA$27,3,FALSE)))))</f>
        <v/>
      </c>
      <c r="AG32" t="str">
        <f>IF(I32="","",COUNTIF(I32,'Stats Calculator'!E$31)+COUNTIF(J32,'Stats Calculator'!E$32)+COUNTIF(K32,'Stats Calculator'!E$33)+COUNTIF(L32,'Stats Calculator'!E$34)+COUNTIF(M32,'Stats Calculator'!E$35)+COUNTIF(N32,'Stats Calculator'!E$36)+COUNTIF(O32,'Stats Calculator'!E$37)+COUNTIF(P32,'Stats Calculator'!E$38)-8+Data!S$3)</f>
        <v/>
      </c>
      <c r="AH32" t="str">
        <f>IF(I32="","",IF(Q32="",0,IF(Q32=0,0,IF(VLOOKUP(Engine!AF32,'Stats Calculator'!B$31:E$38,4,FALSE)="",0,IF(VLOOKUP(Engine!AF32,'Stats Calculator'!B$31:E$38,4,FALSE)=Q32,2,-2)))))</f>
        <v/>
      </c>
      <c r="AI32" t="str">
        <f>IF(I32="","",Data!S$3-COUNTA('Stats Calculator'!E$31:E$38))</f>
        <v/>
      </c>
      <c r="AJ32" t="str">
        <f>IF(I32="","",IF(AF32=0,0,IF(VLOOKUP(AF32,'Stats Calculator'!B$31:E$38,4,FALSE)&gt;0,0,2)))</f>
        <v/>
      </c>
      <c r="AK32" t="str">
        <f>IF(I32="","",IF(Data!S$3-Engine!AI32=AG32,2,0))</f>
        <v/>
      </c>
      <c r="AL32" t="str">
        <f t="shared" si="14"/>
        <v/>
      </c>
    </row>
    <row r="33" spans="1:38" x14ac:dyDescent="0.3">
      <c r="A33">
        <v>32</v>
      </c>
      <c r="B33">
        <f t="shared" si="0"/>
        <v>44</v>
      </c>
      <c r="C33" s="162">
        <f t="shared" si="8"/>
        <v>82.022940066000004</v>
      </c>
      <c r="D33">
        <f t="shared" si="1"/>
        <v>42</v>
      </c>
      <c r="E33" s="4" t="str">
        <f t="shared" si="9"/>
        <v>p</v>
      </c>
      <c r="F33">
        <f t="shared" si="10"/>
        <v>2</v>
      </c>
      <c r="G33">
        <v>66</v>
      </c>
      <c r="H33" t="str">
        <f>Data!A30</f>
        <v>ILuvGal</v>
      </c>
      <c r="I33" s="2" t="str">
        <f>Data!C30</f>
        <v>Roosters</v>
      </c>
      <c r="J33" s="2" t="str">
        <f>Data!D30</f>
        <v>Sea Eagles</v>
      </c>
      <c r="K33" s="2" t="str">
        <f>Data!E30</f>
        <v>Rabbitohs</v>
      </c>
      <c r="L33" s="2" t="str">
        <f>IF(Data!$S$3&lt;Engine!L$1,0,Data!F30)</f>
        <v>Storm</v>
      </c>
      <c r="M33" s="2" t="str">
        <f>IF(Data!$S$3&lt;Engine!M$1,0,Data!G30)</f>
        <v>Knights</v>
      </c>
      <c r="N33" s="2" t="str">
        <f>IF(Data!$S$3&lt;Engine!N$1,0,Data!H30)</f>
        <v>Panthers</v>
      </c>
      <c r="O33" s="2" t="str">
        <f>IF(Data!$S$3&lt;Engine!O$1,0,Data!I30)</f>
        <v>Titans</v>
      </c>
      <c r="P33" s="2" t="str">
        <f>IF(Data!$S$3&lt;Engine!P$1,0,Data!J30)</f>
        <v>Sharks</v>
      </c>
      <c r="Q33" s="17" t="str">
        <f>IF(Data!B30=1,Data!K30,"No Tips")</f>
        <v>Storm</v>
      </c>
      <c r="R33" s="2">
        <f>Data!L30</f>
        <v>82</v>
      </c>
      <c r="S33" s="2">
        <f>Data!M30</f>
        <v>2294</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0</v>
      </c>
      <c r="V33" s="15">
        <f>IF(I33="","",IF(T33=Data!S$3,2,0))</f>
        <v>0</v>
      </c>
      <c r="W33" s="15">
        <f t="shared" si="11"/>
        <v>1</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24</v>
      </c>
      <c r="Y33">
        <f t="shared" si="17"/>
        <v>83</v>
      </c>
      <c r="Z33">
        <f t="shared" si="12"/>
        <v>2318</v>
      </c>
      <c r="AA33" s="162">
        <f t="shared" si="13"/>
        <v>83.023180065999995</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24</v>
      </c>
      <c r="AF33">
        <f>IF(I33="","",IF(Q33="",0,IF(AND(Q33&gt;0,COUNTIF('Stats Calculator'!$T$24:$AA$24,Q33)=1),HLOOKUP(Q33,'Stats Calculator'!$T$24:$AA$27,4,FALSE),IF(AND(Q33&gt;0,COUNTIF('Stats Calculator'!$T$25:$AA$25,Q33)=1),HLOOKUP(Q33,'Stats Calculator'!$T$25:$AA$27,3,FALSE)))))</f>
        <v>4</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66</v>
      </c>
      <c r="C34" s="162">
        <f t="shared" si="8"/>
        <v>68.021510065000001</v>
      </c>
      <c r="D34">
        <f t="shared" ref="D34:D65" si="19">IF(H34="ZZZZZZ Suspend","",RANK(AA34,AA:AA))</f>
        <v>63</v>
      </c>
      <c r="E34" s="4" t="str">
        <f t="shared" si="9"/>
        <v>p</v>
      </c>
      <c r="F34">
        <f t="shared" si="10"/>
        <v>3</v>
      </c>
      <c r="G34">
        <v>65</v>
      </c>
      <c r="H34" t="str">
        <f>Data!A31</f>
        <v>isha68</v>
      </c>
      <c r="I34" s="2" t="str">
        <f>Data!C31</f>
        <v>Roosters</v>
      </c>
      <c r="J34" s="2" t="str">
        <f>Data!D31</f>
        <v>Warriors</v>
      </c>
      <c r="K34" s="2" t="str">
        <f>Data!E31</f>
        <v>Rabbitohs</v>
      </c>
      <c r="L34" s="2" t="str">
        <f>IF(Data!$S$3&lt;Engine!L$1,0,Data!F31)</f>
        <v>Storm</v>
      </c>
      <c r="M34" s="2" t="str">
        <f>IF(Data!$S$3&lt;Engine!M$1,0,Data!G31)</f>
        <v>Wests Tigers</v>
      </c>
      <c r="N34" s="2" t="str">
        <f>IF(Data!$S$3&lt;Engine!N$1,0,Data!H31)</f>
        <v>Raiders</v>
      </c>
      <c r="O34" s="2" t="str">
        <f>IF(Data!$S$3&lt;Engine!O$1,0,Data!I31)</f>
        <v>Titans</v>
      </c>
      <c r="P34" s="2" t="str">
        <f>IF(Data!$S$3&lt;Engine!P$1,0,Data!J31)</f>
        <v>Eels</v>
      </c>
      <c r="Q34" s="17" t="str">
        <f>IF(Data!B31=1,Data!K31,"No Tips")</f>
        <v>Roosters</v>
      </c>
      <c r="R34" s="2">
        <f>Data!L31</f>
        <v>68</v>
      </c>
      <c r="S34" s="2">
        <f>Data!M31</f>
        <v>2151</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2</v>
      </c>
      <c r="V34" s="15">
        <f>IF(I34="","",IF(T34=Data!S$3,2,0))</f>
        <v>0</v>
      </c>
      <c r="W34" s="15">
        <f t="shared" si="11"/>
        <v>3</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24</v>
      </c>
      <c r="Y34">
        <f t="shared" si="17"/>
        <v>71</v>
      </c>
      <c r="Z34">
        <f t="shared" si="12"/>
        <v>2175</v>
      </c>
      <c r="AA34" s="162">
        <f t="shared" si="13"/>
        <v>71.021750064999992</v>
      </c>
      <c r="AB34">
        <f t="shared" si="1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24</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
      <c r="A35">
        <v>34</v>
      </c>
      <c r="B35">
        <f t="shared" si="18"/>
        <v>49</v>
      </c>
      <c r="C35" s="162">
        <f t="shared" si="8"/>
        <v>78.020980026999993</v>
      </c>
      <c r="D35">
        <f t="shared" si="19"/>
        <v>49</v>
      </c>
      <c r="E35" s="4" t="str">
        <f t="shared" si="9"/>
        <v>u</v>
      </c>
      <c r="F35" t="str">
        <f t="shared" si="10"/>
        <v/>
      </c>
      <c r="G35">
        <v>27</v>
      </c>
      <c r="H35" t="str">
        <f>Data!A69</f>
        <v>iTerry</v>
      </c>
      <c r="I35" s="2" t="str">
        <f>Data!C69</f>
        <v>Roosters</v>
      </c>
      <c r="J35" s="2" t="str">
        <f>Data!D69</f>
        <v>Sea Eagles</v>
      </c>
      <c r="K35" s="2" t="str">
        <f>Data!E69</f>
        <v>Rabbitohs</v>
      </c>
      <c r="L35" s="2" t="str">
        <f>IF(Data!$S$3&lt;Engine!L$1,0,Data!F69)</f>
        <v>Storm</v>
      </c>
      <c r="M35" s="2" t="str">
        <f>IF(Data!$S$3&lt;Engine!M$1,0,Data!G69)</f>
        <v>Knights</v>
      </c>
      <c r="N35" s="2" t="str">
        <f>IF(Data!$S$3&lt;Engine!N$1,0,Data!H69)</f>
        <v>Panthers</v>
      </c>
      <c r="O35" s="2" t="str">
        <f>IF(Data!$S$3&lt;Engine!O$1,0,Data!I69)</f>
        <v>Titans</v>
      </c>
      <c r="P35" s="2" t="str">
        <f>IF(Data!$S$3&lt;Engine!P$1,0,Data!J69)</f>
        <v>Sharks</v>
      </c>
      <c r="Q35" s="17" t="str">
        <f>IF(Data!B69=1,Data!K69,"No Tips")</f>
        <v>Storm</v>
      </c>
      <c r="R35" s="2">
        <f>Data!L69</f>
        <v>78</v>
      </c>
      <c r="S35" s="2">
        <f>Data!M69</f>
        <v>2098</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Y35">
        <f t="shared" si="17"/>
        <v>79</v>
      </c>
      <c r="Z35">
        <f t="shared" si="12"/>
        <v>2122</v>
      </c>
      <c r="AA35" s="162">
        <f t="shared" si="13"/>
        <v>79.021220026999998</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41</v>
      </c>
      <c r="C36" s="162">
        <f t="shared" si="8"/>
        <v>83.022070064000005</v>
      </c>
      <c r="D36">
        <f t="shared" si="19"/>
        <v>40</v>
      </c>
      <c r="E36" s="4" t="str">
        <f t="shared" si="9"/>
        <v>p</v>
      </c>
      <c r="F36">
        <f t="shared" si="10"/>
        <v>1</v>
      </c>
      <c r="G36">
        <v>64</v>
      </c>
      <c r="H36" t="str">
        <f>Data!A32</f>
        <v>Big Baba</v>
      </c>
      <c r="I36" s="2" t="str">
        <f>Data!C32</f>
        <v>Roosters</v>
      </c>
      <c r="J36" s="2" t="str">
        <f>Data!D32</f>
        <v>Sea Eagles</v>
      </c>
      <c r="K36" s="2" t="str">
        <f>Data!E32</f>
        <v>Rabbitohs</v>
      </c>
      <c r="L36" s="2" t="str">
        <f>IF(Data!$S$3&lt;Engine!L$1,0,Data!F32)</f>
        <v>Storm</v>
      </c>
      <c r="M36" s="2" t="str">
        <f>IF(Data!$S$3&lt;Engine!M$1,0,Data!G32)</f>
        <v>Knights</v>
      </c>
      <c r="N36" s="2" t="str">
        <f>IF(Data!$S$3&lt;Engine!N$1,0,Data!H32)</f>
        <v>Panthers</v>
      </c>
      <c r="O36" s="2" t="str">
        <f>IF(Data!$S$3&lt;Engine!O$1,0,Data!I32)</f>
        <v>Cowboys</v>
      </c>
      <c r="P36" s="2" t="str">
        <f>IF(Data!$S$3&lt;Engine!P$1,0,Data!J32)</f>
        <v>Eels</v>
      </c>
      <c r="Q36" s="17" t="str">
        <f>IF(Data!B32=1,Data!K32,"No Tips")</f>
        <v>Sea Eagles</v>
      </c>
      <c r="R36" s="2">
        <f>Data!L32</f>
        <v>83</v>
      </c>
      <c r="S36" s="2">
        <f>Data!M32</f>
        <v>2207</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0</v>
      </c>
      <c r="V36" s="15">
        <f>IF(I36="","",IF(T36=Data!S$3,2,0))</f>
        <v>0</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24</v>
      </c>
      <c r="Y36">
        <f t="shared" si="17"/>
        <v>84</v>
      </c>
      <c r="Z36">
        <f t="shared" si="12"/>
        <v>2231</v>
      </c>
      <c r="AA36" s="162">
        <f t="shared" si="13"/>
        <v>84.02231006400001</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24</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84</v>
      </c>
      <c r="C37" s="162">
        <f t="shared" si="8"/>
        <v>22.015670011000001</v>
      </c>
      <c r="D37">
        <f t="shared" si="19"/>
        <v>84</v>
      </c>
      <c r="E37" s="4" t="str">
        <f t="shared" si="9"/>
        <v>u</v>
      </c>
      <c r="F37" t="str">
        <f t="shared" si="10"/>
        <v/>
      </c>
      <c r="G37">
        <v>11</v>
      </c>
      <c r="H37" t="str">
        <f>Data!A85</f>
        <v>jonnyc23</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f>Data!L85</f>
        <v>22</v>
      </c>
      <c r="S37" s="2">
        <f>Data!M85</f>
        <v>1567</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0</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7"/>
        <v>22</v>
      </c>
      <c r="Z37">
        <f t="shared" si="12"/>
        <v>1583</v>
      </c>
      <c r="AA37" s="162">
        <f t="shared" si="13"/>
        <v>22.015830011000002</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33</v>
      </c>
      <c r="C38" s="162">
        <f t="shared" si="8"/>
        <v>85.022660063000004</v>
      </c>
      <c r="D38">
        <f t="shared" si="19"/>
        <v>32</v>
      </c>
      <c r="E38" s="4" t="str">
        <f t="shared" si="9"/>
        <v>p</v>
      </c>
      <c r="F38">
        <f t="shared" si="10"/>
        <v>1</v>
      </c>
      <c r="G38">
        <v>63</v>
      </c>
      <c r="H38" t="str">
        <f>Data!A33</f>
        <v>Kane G</v>
      </c>
      <c r="I38" s="2" t="str">
        <f>Data!C33</f>
        <v>Roosters</v>
      </c>
      <c r="J38" s="2" t="str">
        <f>Data!D33</f>
        <v>Sea Eagles</v>
      </c>
      <c r="K38" s="2" t="str">
        <f>Data!E33</f>
        <v>Rabbitohs</v>
      </c>
      <c r="L38" s="2" t="str">
        <f>IF(Data!$S$3&lt;Engine!L$1,0,Data!F33)</f>
        <v>Storm</v>
      </c>
      <c r="M38" s="2" t="str">
        <f>IF(Data!$S$3&lt;Engine!M$1,0,Data!G33)</f>
        <v>Knights</v>
      </c>
      <c r="N38" s="2" t="str">
        <f>IF(Data!$S$3&lt;Engine!N$1,0,Data!H33)</f>
        <v>Panthers</v>
      </c>
      <c r="O38" s="2" t="str">
        <f>IF(Data!$S$3&lt;Engine!O$1,0,Data!I33)</f>
        <v>Titans</v>
      </c>
      <c r="P38" s="2" t="str">
        <f>IF(Data!$S$3&lt;Engine!P$1,0,Data!J33)</f>
        <v>Eels</v>
      </c>
      <c r="Q38" s="17" t="str">
        <f>IF(Data!B33=1,Data!K33,"No Tips")</f>
        <v>Storm</v>
      </c>
      <c r="R38" s="2">
        <f>Data!L33</f>
        <v>85</v>
      </c>
      <c r="S38" s="2">
        <f>Data!M33</f>
        <v>2266</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0</v>
      </c>
      <c r="V38" s="15">
        <f>IF(I38="","",IF(T38=Data!S$3,2,0))</f>
        <v>0</v>
      </c>
      <c r="W38" s="15">
        <f t="shared" si="11"/>
        <v>1</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24</v>
      </c>
      <c r="Y38">
        <f t="shared" si="17"/>
        <v>86</v>
      </c>
      <c r="Z38">
        <f t="shared" si="12"/>
        <v>2290</v>
      </c>
      <c r="AA38" s="162">
        <f t="shared" si="13"/>
        <v>86.022900063000009</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24</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
      <c r="A39">
        <v>38</v>
      </c>
      <c r="B39">
        <f t="shared" si="18"/>
        <v>51</v>
      </c>
      <c r="C39" s="162">
        <f t="shared" si="8"/>
        <v>76.022030061999999</v>
      </c>
      <c r="D39">
        <f t="shared" si="19"/>
        <v>51</v>
      </c>
      <c r="E39" s="4" t="str">
        <f t="shared" si="9"/>
        <v>u</v>
      </c>
      <c r="F39" t="str">
        <f t="shared" si="10"/>
        <v/>
      </c>
      <c r="G39">
        <v>62</v>
      </c>
      <c r="H39" t="str">
        <f>Data!A34</f>
        <v>Kauboi</v>
      </c>
      <c r="I39" s="2" t="str">
        <f>Data!C34</f>
        <v>Roosters</v>
      </c>
      <c r="J39" s="2" t="str">
        <f>Data!D34</f>
        <v>Sea Eagles</v>
      </c>
      <c r="K39" s="2" t="str">
        <f>Data!E34</f>
        <v>Rabbitohs</v>
      </c>
      <c r="L39" s="2" t="str">
        <f>IF(Data!$S$3&lt;Engine!L$1,0,Data!F34)</f>
        <v>Storm</v>
      </c>
      <c r="M39" s="2" t="str">
        <f>IF(Data!$S$3&lt;Engine!M$1,0,Data!G34)</f>
        <v>Knights</v>
      </c>
      <c r="N39" s="2" t="str">
        <f>IF(Data!$S$3&lt;Engine!N$1,0,Data!H34)</f>
        <v>Raiders</v>
      </c>
      <c r="O39" s="2" t="str">
        <f>IF(Data!$S$3&lt;Engine!O$1,0,Data!I34)</f>
        <v>Titans</v>
      </c>
      <c r="P39" s="2" t="str">
        <f>IF(Data!$S$3&lt;Engine!P$1,0,Data!J34)</f>
        <v>Eels</v>
      </c>
      <c r="Q39" s="17" t="str">
        <f>IF(Data!B34=1,Data!K34,"No Tips")</f>
        <v>Storm</v>
      </c>
      <c r="R39" s="2">
        <f>Data!L34</f>
        <v>76</v>
      </c>
      <c r="S39" s="2">
        <f>Data!M34</f>
        <v>2203</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0</v>
      </c>
      <c r="V39" s="15">
        <f>IF(I39="","",IF(T39=Data!S$3,2,0))</f>
        <v>0</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Y39">
        <f t="shared" si="17"/>
        <v>77</v>
      </c>
      <c r="Z39">
        <f t="shared" si="12"/>
        <v>2227</v>
      </c>
      <c r="AA39" s="162">
        <f t="shared" si="13"/>
        <v>77.022270062000004</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68</v>
      </c>
      <c r="C40" s="162">
        <f t="shared" si="8"/>
        <v>64.020890021</v>
      </c>
      <c r="D40">
        <f t="shared" si="19"/>
        <v>68</v>
      </c>
      <c r="E40" s="4" t="str">
        <f t="shared" si="9"/>
        <v>u</v>
      </c>
      <c r="F40" t="str">
        <f t="shared" si="10"/>
        <v/>
      </c>
      <c r="G40">
        <v>21</v>
      </c>
      <c r="H40" t="str">
        <f>Data!A75</f>
        <v>Kayem</v>
      </c>
      <c r="I40" s="2" t="str">
        <f>Data!C75</f>
        <v>Roosters</v>
      </c>
      <c r="J40" s="2" t="str">
        <f>Data!D75</f>
        <v>Sea Eagles</v>
      </c>
      <c r="K40" s="2" t="str">
        <f>Data!E75</f>
        <v>Broncos</v>
      </c>
      <c r="L40" s="2" t="str">
        <f>IF(Data!$S$3&lt;Engine!L$1,0,Data!F75)</f>
        <v>Storm</v>
      </c>
      <c r="M40" s="2" t="str">
        <f>IF(Data!$S$3&lt;Engine!M$1,0,Data!G75)</f>
        <v>Knights</v>
      </c>
      <c r="N40" s="2" t="str">
        <f>IF(Data!$S$3&lt;Engine!N$1,0,Data!H75)</f>
        <v>Raiders</v>
      </c>
      <c r="O40" s="2" t="str">
        <f>IF(Data!$S$3&lt;Engine!O$1,0,Data!I75)</f>
        <v>Cowboys</v>
      </c>
      <c r="P40" s="2" t="str">
        <f>IF(Data!$S$3&lt;Engine!P$1,0,Data!J75)</f>
        <v>Sharks</v>
      </c>
      <c r="Q40" s="17" t="str">
        <f>IF(Data!B75=1,Data!K75,"No Tips")</f>
        <v>Roosters</v>
      </c>
      <c r="R40" s="2">
        <f>Data!L75</f>
        <v>64</v>
      </c>
      <c r="S40" s="2">
        <f>Data!M75</f>
        <v>2089</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2</v>
      </c>
      <c r="V40" s="15">
        <f>IF(I40="","",IF(T40=Data!S$3,2,0))</f>
        <v>0</v>
      </c>
      <c r="W40" s="15">
        <f t="shared" si="11"/>
        <v>3</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24</v>
      </c>
      <c r="Y40">
        <f t="shared" si="17"/>
        <v>67</v>
      </c>
      <c r="Z40">
        <f t="shared" si="12"/>
        <v>2113</v>
      </c>
      <c r="AA40" s="162">
        <f t="shared" si="13"/>
        <v>67.021130021000005</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24</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
      <c r="A41">
        <v>40</v>
      </c>
      <c r="B41">
        <f t="shared" si="18"/>
        <v>40</v>
      </c>
      <c r="C41" s="162">
        <f t="shared" si="8"/>
        <v>83.022140060999988</v>
      </c>
      <c r="D41">
        <f t="shared" si="19"/>
        <v>43</v>
      </c>
      <c r="E41" s="4" t="str">
        <f t="shared" si="9"/>
        <v>q</v>
      </c>
      <c r="F41">
        <f t="shared" si="10"/>
        <v>3</v>
      </c>
      <c r="G41">
        <v>61</v>
      </c>
      <c r="H41" t="str">
        <f>Data!A35</f>
        <v>Krusty</v>
      </c>
      <c r="I41" s="2" t="str">
        <f>Data!C35</f>
        <v>Dragons</v>
      </c>
      <c r="J41" s="2" t="str">
        <f>Data!D35</f>
        <v>Sea Eagles</v>
      </c>
      <c r="K41" s="2" t="str">
        <f>Data!E35</f>
        <v>Rabbitohs</v>
      </c>
      <c r="L41" s="2" t="str">
        <f>IF(Data!$S$3&lt;Engine!L$1,0,Data!F35)</f>
        <v>Storm</v>
      </c>
      <c r="M41" s="2" t="str">
        <f>IF(Data!$S$3&lt;Engine!M$1,0,Data!G35)</f>
        <v>Wests Tigers</v>
      </c>
      <c r="N41" s="2" t="str">
        <f>IF(Data!$S$3&lt;Engine!N$1,0,Data!H35)</f>
        <v>Panthers</v>
      </c>
      <c r="O41" s="2" t="str">
        <f>IF(Data!$S$3&lt;Engine!O$1,0,Data!I35)</f>
        <v>Cowboys</v>
      </c>
      <c r="P41" s="2" t="str">
        <f>IF(Data!$S$3&lt;Engine!P$1,0,Data!J35)</f>
        <v>Eels</v>
      </c>
      <c r="Q41" s="17" t="str">
        <f>IF(Data!B35=1,Data!K35,"No Tips")</f>
        <v>Storm</v>
      </c>
      <c r="R41" s="2">
        <f>Data!L35</f>
        <v>83</v>
      </c>
      <c r="S41" s="2">
        <f>Data!M35</f>
        <v>2214</v>
      </c>
      <c r="T41" s="15">
        <f>IF(I41="","",COUNTIF('Live Ladder'!P:P,I41)+COUNTIF('Live Ladder'!P:P,J41)+COUNTIF('Live Ladder'!P:P,K41)+COUNTIF('Live Ladder'!P:P,L41)+COUNTIF('Live Ladder'!P:P,M41)+COUNTIF('Live Ladder'!P:P,N41)+COUNTIF('Live Ladder'!P:P,O41)+COUNTIF('Live Ladder'!P:P,P41))</f>
        <v>0</v>
      </c>
      <c r="U41" s="15">
        <f>IF(I41="","",IF(COUNTIF('Live Ladder'!P:P,Engine!Q41)=1,2,IF(COUNTIF('Live Ladder'!Q:Q,Engine!Q41)=1,-2,0)))</f>
        <v>0</v>
      </c>
      <c r="V41" s="15">
        <f>IF(I41="","",IF(T41=Data!S$3,2,0))</f>
        <v>0</v>
      </c>
      <c r="W41" s="15">
        <f t="shared" si="11"/>
        <v>0</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Y41">
        <f t="shared" si="17"/>
        <v>83</v>
      </c>
      <c r="Z41">
        <f t="shared" si="12"/>
        <v>2230</v>
      </c>
      <c r="AA41" s="162">
        <f t="shared" si="13"/>
        <v>83.022300060999996</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
      <c r="A42">
        <v>41</v>
      </c>
      <c r="B42">
        <f t="shared" si="18"/>
        <v>74</v>
      </c>
      <c r="C42" s="162">
        <f t="shared" si="8"/>
        <v>57.019240014000005</v>
      </c>
      <c r="D42">
        <f t="shared" si="19"/>
        <v>76</v>
      </c>
      <c r="E42" s="4" t="str">
        <f t="shared" si="9"/>
        <v>q</v>
      </c>
      <c r="F42">
        <f t="shared" si="10"/>
        <v>2</v>
      </c>
      <c r="G42">
        <v>14</v>
      </c>
      <c r="H42" t="str">
        <f>Data!A82</f>
        <v>Last_Minute_Entry</v>
      </c>
      <c r="I42" s="2" t="str">
        <f>Data!C82</f>
        <v/>
      </c>
      <c r="J42" s="2" t="str">
        <f>Data!D82</f>
        <v/>
      </c>
      <c r="K42" s="2" t="str">
        <f>Data!E82</f>
        <v/>
      </c>
      <c r="L42" s="2" t="str">
        <f>IF(Data!$S$3&lt;Engine!L$1,0,Data!F82)</f>
        <v/>
      </c>
      <c r="M42" s="2" t="str">
        <f>IF(Data!$S$3&lt;Engine!M$1,0,Data!G82)</f>
        <v/>
      </c>
      <c r="N42" s="2" t="str">
        <f>IF(Data!$S$3&lt;Engine!N$1,0,Data!H82)</f>
        <v/>
      </c>
      <c r="O42" s="2" t="str">
        <f>IF(Data!$S$3&lt;Engine!O$1,0,Data!I82)</f>
        <v/>
      </c>
      <c r="P42" s="2" t="str">
        <f>IF(Data!$S$3&lt;Engine!P$1,0,Data!J82)</f>
        <v/>
      </c>
      <c r="Q42" s="17" t="str">
        <f>IF(Data!B82=1,Data!K82,"No Tips")</f>
        <v>No Tips</v>
      </c>
      <c r="R42" s="2">
        <f>Data!L82</f>
        <v>57</v>
      </c>
      <c r="S42" s="2">
        <f>Data!M82</f>
        <v>1924</v>
      </c>
      <c r="T42" s="15" t="str">
        <f>IF(I42="","",COUNTIF('Live Ladder'!P:P,I42)+COUNTIF('Live Ladder'!P:P,J42)+COUNTIF('Live Ladder'!P:P,K42)+COUNTIF('Live Ladder'!P:P,L42)+COUNTIF('Live Ladder'!P:P,M42)+COUNTIF('Live Ladder'!P:P,N42)+COUNTIF('Live Ladder'!P:P,O42)+COUNTIF('Live Ladder'!P:P,P42))</f>
        <v/>
      </c>
      <c r="U42" s="15" t="str">
        <f>IF(I42="","",IF(COUNTIF('Live Ladder'!P:P,Engine!Q42)=1,2,IF(COUNTIF('Live Ladder'!Q:Q,Engine!Q42)=1,-2,0)))</f>
        <v/>
      </c>
      <c r="V42" s="15" t="str">
        <f>IF(I42="","",IF(T42=Data!S$3,2,0))</f>
        <v/>
      </c>
      <c r="W42" s="15">
        <f t="shared" si="11"/>
        <v>0</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Y42">
        <f t="shared" si="17"/>
        <v>57</v>
      </c>
      <c r="Z42">
        <f t="shared" si="12"/>
        <v>1940</v>
      </c>
      <c r="AA42" s="162">
        <f t="shared" si="13"/>
        <v>57.019400013999999</v>
      </c>
      <c r="AB42">
        <f t="shared" si="16"/>
        <v>0</v>
      </c>
      <c r="AC42" t="str">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
      </c>
      <c r="AF42" t="str">
        <f>IF(I42="","",IF(Q42="",0,IF(AND(Q42&gt;0,COUNTIF('Stats Calculator'!$T$24:$AA$24,Q42)=1),HLOOKUP(Q42,'Stats Calculator'!$T$24:$AA$27,4,FALSE),IF(AND(Q42&gt;0,COUNTIF('Stats Calculator'!$T$25:$AA$25,Q42)=1),HLOOKUP(Q42,'Stats Calculator'!$T$25:$AA$27,3,FALSE)))))</f>
        <v/>
      </c>
      <c r="AG42" t="str">
        <f>IF(I42="","",COUNTIF(I42,'Stats Calculator'!E$31)+COUNTIF(J42,'Stats Calculator'!E$32)+COUNTIF(K42,'Stats Calculator'!E$33)+COUNTIF(L42,'Stats Calculator'!E$34)+COUNTIF(M42,'Stats Calculator'!E$35)+COUNTIF(N42,'Stats Calculator'!E$36)+COUNTIF(O42,'Stats Calculator'!E$37)+COUNTIF(P42,'Stats Calculator'!E$38)-8+Data!S$3)</f>
        <v/>
      </c>
      <c r="AH42" t="str">
        <f>IF(I42="","",IF(Q42="",0,IF(Q42=0,0,IF(VLOOKUP(Engine!AF42,'Stats Calculator'!B$31:E$38,4,FALSE)="",0,IF(VLOOKUP(Engine!AF42,'Stats Calculator'!B$31:E$38,4,FALSE)=Q42,2,-2)))))</f>
        <v/>
      </c>
      <c r="AI42" t="str">
        <f>IF(I42="","",Data!S$3-COUNTA('Stats Calculator'!E$31:E$38))</f>
        <v/>
      </c>
      <c r="AJ42" t="str">
        <f>IF(I42="","",IF(AF42=0,0,IF(VLOOKUP(AF42,'Stats Calculator'!B$31:E$38,4,FALSE)&gt;0,0,2)))</f>
        <v/>
      </c>
      <c r="AK42" t="str">
        <f>IF(I42="","",IF(Data!S$3-Engine!AI42=AG42,2,0))</f>
        <v/>
      </c>
      <c r="AL42" t="str">
        <f t="shared" si="14"/>
        <v/>
      </c>
    </row>
    <row r="43" spans="1:38" x14ac:dyDescent="0.3">
      <c r="A43">
        <v>42</v>
      </c>
      <c r="B43">
        <f t="shared" si="18"/>
        <v>46</v>
      </c>
      <c r="C43" s="162">
        <f t="shared" si="8"/>
        <v>81.021310060000005</v>
      </c>
      <c r="D43">
        <f t="shared" si="19"/>
        <v>46</v>
      </c>
      <c r="E43" s="4" t="str">
        <f t="shared" si="9"/>
        <v>u</v>
      </c>
      <c r="F43" t="str">
        <f t="shared" si="10"/>
        <v/>
      </c>
      <c r="G43">
        <v>60</v>
      </c>
      <c r="H43" t="str">
        <f>Data!A36</f>
        <v>Lou</v>
      </c>
      <c r="I43" s="2" t="str">
        <f>Data!C36</f>
        <v>Roosters</v>
      </c>
      <c r="J43" s="2" t="str">
        <f>Data!D36</f>
        <v>Sea Eagles</v>
      </c>
      <c r="K43" s="2" t="str">
        <f>Data!E36</f>
        <v>Rabbitohs</v>
      </c>
      <c r="L43" s="2" t="str">
        <f>IF(Data!$S$3&lt;Engine!L$1,0,Data!F36)</f>
        <v>Storm</v>
      </c>
      <c r="M43" s="2" t="str">
        <f>IF(Data!$S$3&lt;Engine!M$1,0,Data!G36)</f>
        <v>Knights</v>
      </c>
      <c r="N43" s="2" t="str">
        <f>IF(Data!$S$3&lt;Engine!N$1,0,Data!H36)</f>
        <v>Panthers</v>
      </c>
      <c r="O43" s="2" t="str">
        <f>IF(Data!$S$3&lt;Engine!O$1,0,Data!I36)</f>
        <v>Titans</v>
      </c>
      <c r="P43" s="2" t="str">
        <f>IF(Data!$S$3&lt;Engine!P$1,0,Data!J36)</f>
        <v>Sharks</v>
      </c>
      <c r="Q43" s="17" t="str">
        <f>IF(Data!B36=1,Data!K36,"No Tips")</f>
        <v>Storm</v>
      </c>
      <c r="R43" s="2">
        <f>Data!L36</f>
        <v>81</v>
      </c>
      <c r="S43" s="2">
        <f>Data!M36</f>
        <v>2131</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0</v>
      </c>
      <c r="V43" s="15">
        <f>IF(I43="","",IF(T43=Data!S$3,2,0))</f>
        <v>0</v>
      </c>
      <c r="W43" s="15">
        <f t="shared" si="11"/>
        <v>1</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24</v>
      </c>
      <c r="Y43">
        <f t="shared" si="17"/>
        <v>82</v>
      </c>
      <c r="Z43">
        <f t="shared" si="12"/>
        <v>2155</v>
      </c>
      <c r="AA43" s="162">
        <f t="shared" si="13"/>
        <v>82.02155006000001</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24</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8</v>
      </c>
      <c r="C44" s="162">
        <f t="shared" si="8"/>
        <v>91.022410058999995</v>
      </c>
      <c r="D44">
        <f t="shared" si="19"/>
        <v>8</v>
      </c>
      <c r="E44" s="4" t="str">
        <f t="shared" si="9"/>
        <v>u</v>
      </c>
      <c r="F44" t="str">
        <f t="shared" si="10"/>
        <v/>
      </c>
      <c r="G44">
        <v>59</v>
      </c>
      <c r="H44" t="str">
        <f>Data!A37</f>
        <v>Magnum</v>
      </c>
      <c r="I44" s="2" t="str">
        <f>Data!C37</f>
        <v>Roosters</v>
      </c>
      <c r="J44" s="2" t="str">
        <f>Data!D37</f>
        <v>Sea Eagles</v>
      </c>
      <c r="K44" s="2" t="str">
        <f>Data!E37</f>
        <v>Rabbitohs</v>
      </c>
      <c r="L44" s="2" t="str">
        <f>IF(Data!$S$3&lt;Engine!L$1,0,Data!F37)</f>
        <v>Storm</v>
      </c>
      <c r="M44" s="2" t="str">
        <f>IF(Data!$S$3&lt;Engine!M$1,0,Data!G37)</f>
        <v>Knights</v>
      </c>
      <c r="N44" s="2" t="str">
        <f>IF(Data!$S$3&lt;Engine!N$1,0,Data!H37)</f>
        <v>Panthers</v>
      </c>
      <c r="O44" s="2" t="str">
        <f>IF(Data!$S$3&lt;Engine!O$1,0,Data!I37)</f>
        <v>Cowboys</v>
      </c>
      <c r="P44" s="2" t="str">
        <f>IF(Data!$S$3&lt;Engine!P$1,0,Data!J37)</f>
        <v>Eels</v>
      </c>
      <c r="Q44" s="17" t="str">
        <f>IF(Data!B37=1,Data!K37,"No Tips")</f>
        <v>Storm</v>
      </c>
      <c r="R44" s="2">
        <f>Data!L37</f>
        <v>91</v>
      </c>
      <c r="S44" s="2">
        <f>Data!M37</f>
        <v>2241</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Y44">
        <f t="shared" si="17"/>
        <v>92</v>
      </c>
      <c r="Z44">
        <f t="shared" si="12"/>
        <v>2265</v>
      </c>
      <c r="AA44" s="162">
        <f t="shared" si="13"/>
        <v>92.022650059</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AF44">
        <f>IF(I44="","",IF(Q44="",0,IF(AND(Q44&gt;0,COUNTIF('Stats Calculator'!$T$24:$AA$24,Q44)=1),HLOOKUP(Q44,'Stats Calculator'!$T$24:$AA$27,4,FALSE),IF(AND(Q44&gt;0,COUNTIF('Stats Calculator'!$T$25:$AA$25,Q44)=1),HLOOKUP(Q44,'Stats Calculator'!$T$25:$AA$27,3,FALSE)))))</f>
        <v>4</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1</v>
      </c>
      <c r="C45" s="162">
        <f t="shared" si="8"/>
        <v>97.023930057999991</v>
      </c>
      <c r="D45">
        <f t="shared" si="19"/>
        <v>1</v>
      </c>
      <c r="E45" s="4" t="str">
        <f t="shared" si="9"/>
        <v>u</v>
      </c>
      <c r="F45" t="str">
        <f t="shared" si="10"/>
        <v/>
      </c>
      <c r="G45">
        <v>58</v>
      </c>
      <c r="H45" t="str">
        <f>Data!A38</f>
        <v>Mary McGregor</v>
      </c>
      <c r="I45" s="2" t="str">
        <f>Data!C38</f>
        <v>Roosters</v>
      </c>
      <c r="J45" s="2" t="str">
        <f>Data!D38</f>
        <v>Sea Eagles</v>
      </c>
      <c r="K45" s="2" t="str">
        <f>Data!E38</f>
        <v>Rabbitohs</v>
      </c>
      <c r="L45" s="2" t="str">
        <f>IF(Data!$S$3&lt;Engine!L$1,0,Data!F38)</f>
        <v>Storm</v>
      </c>
      <c r="M45" s="2" t="str">
        <f>IF(Data!$S$3&lt;Engine!M$1,0,Data!G38)</f>
        <v>Wests Tigers</v>
      </c>
      <c r="N45" s="2" t="str">
        <f>IF(Data!$S$3&lt;Engine!N$1,0,Data!H38)</f>
        <v>Panthers</v>
      </c>
      <c r="O45" s="2" t="str">
        <f>IF(Data!$S$3&lt;Engine!O$1,0,Data!I38)</f>
        <v>Cowboys</v>
      </c>
      <c r="P45" s="2" t="str">
        <f>IF(Data!$S$3&lt;Engine!P$1,0,Data!J38)</f>
        <v>Eels</v>
      </c>
      <c r="Q45" s="17" t="str">
        <f>IF(Data!B38=1,Data!K38,"No Tips")</f>
        <v>Storm</v>
      </c>
      <c r="R45" s="2">
        <f>Data!L38</f>
        <v>97</v>
      </c>
      <c r="S45" s="2">
        <f>Data!M38</f>
        <v>2393</v>
      </c>
      <c r="T45" s="15">
        <f>IF(I45="","",COUNTIF('Live Ladder'!P:P,I45)+COUNTIF('Live Ladder'!P:P,J45)+COUNTIF('Live Ladder'!P:P,K45)+COUNTIF('Live Ladder'!P:P,L45)+COUNTIF('Live Ladder'!P:P,M45)+COUNTIF('Live Ladder'!P:P,N45)+COUNTIF('Live Ladder'!P:P,O45)+COUNTIF('Live Ladder'!P:P,P45))</f>
        <v>1</v>
      </c>
      <c r="U45" s="15">
        <f>IF(I45="","",IF(COUNTIF('Live Ladder'!P:P,Engine!Q45)=1,2,IF(COUNTIF('Live Ladder'!Q:Q,Engine!Q45)=1,-2,0)))</f>
        <v>0</v>
      </c>
      <c r="V45" s="15">
        <f>IF(I45="","",IF(T45=Data!S$3,2,0))</f>
        <v>0</v>
      </c>
      <c r="W45" s="15">
        <f t="shared" si="11"/>
        <v>1</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24</v>
      </c>
      <c r="Y45">
        <f t="shared" si="17"/>
        <v>98</v>
      </c>
      <c r="Z45">
        <f t="shared" si="12"/>
        <v>2417</v>
      </c>
      <c r="AA45" s="162">
        <f t="shared" si="13"/>
        <v>98.024170057999996</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24</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6" customFormat="1" x14ac:dyDescent="0.3">
      <c r="A46" s="16">
        <v>45</v>
      </c>
      <c r="B46" s="16">
        <f t="shared" si="18"/>
        <v>9</v>
      </c>
      <c r="C46" s="162">
        <f t="shared" si="8"/>
        <v>90.023320056999992</v>
      </c>
      <c r="D46" s="16">
        <f t="shared" si="19"/>
        <v>9</v>
      </c>
      <c r="E46" s="157" t="str">
        <f t="shared" si="9"/>
        <v>u</v>
      </c>
      <c r="F46" s="16" t="str">
        <f t="shared" si="10"/>
        <v/>
      </c>
      <c r="G46">
        <v>57</v>
      </c>
      <c r="H46" t="str">
        <f>Data!A39</f>
        <v>MB</v>
      </c>
      <c r="I46" s="2" t="str">
        <f>Data!C39</f>
        <v>Roosters</v>
      </c>
      <c r="J46" s="2" t="str">
        <f>Data!D39</f>
        <v>Sea Eagles</v>
      </c>
      <c r="K46" s="2" t="str">
        <f>Data!E39</f>
        <v>Rabbitohs</v>
      </c>
      <c r="L46" s="2" t="str">
        <f>IF(Data!$S$3&lt;Engine!L$1,0,Data!F39)</f>
        <v>Storm</v>
      </c>
      <c r="M46" s="2" t="str">
        <f>IF(Data!$S$3&lt;Engine!M$1,0,Data!G39)</f>
        <v>Knights</v>
      </c>
      <c r="N46" s="2" t="str">
        <f>IF(Data!$S$3&lt;Engine!N$1,0,Data!H39)</f>
        <v>Raiders</v>
      </c>
      <c r="O46" s="2" t="str">
        <f>IF(Data!$S$3&lt;Engine!O$1,0,Data!I39)</f>
        <v>Titans</v>
      </c>
      <c r="P46" s="2" t="str">
        <f>IF(Data!$S$3&lt;Engine!P$1,0,Data!J39)</f>
        <v>Eels</v>
      </c>
      <c r="Q46" s="17" t="str">
        <f>IF(Data!B39=1,Data!K39,"No Tips")</f>
        <v>Storm</v>
      </c>
      <c r="R46" s="2">
        <f>Data!L39</f>
        <v>90</v>
      </c>
      <c r="S46" s="2">
        <f>Data!M39</f>
        <v>2332</v>
      </c>
      <c r="T46" s="158">
        <f>IF(I46="","",COUNTIF('Live Ladder'!P:P,I46)+COUNTIF('Live Ladder'!P:P,J46)+COUNTIF('Live Ladder'!P:P,K46)+COUNTIF('Live Ladder'!P:P,L46)+COUNTIF('Live Ladder'!P:P,M46)+COUNTIF('Live Ladder'!P:P,N46)+COUNTIF('Live Ladder'!P:P,O46)+COUNTIF('Live Ladder'!P:P,P46))</f>
        <v>1</v>
      </c>
      <c r="U46" s="158">
        <f>IF(I46="","",IF(COUNTIF('Live Ladder'!P:P,Engine!Q46)=1,2,IF(COUNTIF('Live Ladder'!Q:Q,Engine!Q46)=1,-2,0)))</f>
        <v>0</v>
      </c>
      <c r="V46" s="158">
        <f>IF(I46="","",IF(T46=Data!S$3,2,0))</f>
        <v>0</v>
      </c>
      <c r="W46" s="158">
        <f t="shared" si="11"/>
        <v>1</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24</v>
      </c>
      <c r="Y46" s="16">
        <f t="shared" si="17"/>
        <v>91</v>
      </c>
      <c r="Z46" s="16">
        <f t="shared" si="12"/>
        <v>2356</v>
      </c>
      <c r="AA46" s="162">
        <f t="shared" si="13"/>
        <v>91.023560056999997</v>
      </c>
      <c r="AB46" s="16">
        <f t="shared" si="16"/>
        <v>1</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24</v>
      </c>
      <c r="AF46" s="16">
        <f>IF(I46="","",IF(Q46="",0,IF(AND(Q46&gt;0,COUNTIF('Stats Calculator'!$T$24:$AA$24,Q46)=1),HLOOKUP(Q46,'Stats Calculator'!$T$24:$AA$27,4,FALSE),IF(AND(Q46&gt;0,COUNTIF('Stats Calculator'!$T$25:$AA$25,Q46)=1),HLOOKUP(Q46,'Stats Calculator'!$T$25:$AA$27,3,FALSE)))))</f>
        <v>4</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2</v>
      </c>
      <c r="AL46" s="16">
        <f t="shared" si="14"/>
        <v>12</v>
      </c>
    </row>
    <row r="47" spans="1:38" x14ac:dyDescent="0.3">
      <c r="A47">
        <v>46</v>
      </c>
      <c r="B47">
        <f t="shared" si="18"/>
        <v>19</v>
      </c>
      <c r="C47" s="162">
        <f t="shared" si="8"/>
        <v>88.023070056000009</v>
      </c>
      <c r="D47">
        <f t="shared" si="19"/>
        <v>20</v>
      </c>
      <c r="E47" s="4" t="str">
        <f t="shared" si="9"/>
        <v>q</v>
      </c>
      <c r="F47">
        <f t="shared" si="10"/>
        <v>1</v>
      </c>
      <c r="G47">
        <v>56</v>
      </c>
      <c r="H47" t="str">
        <f>Data!A40</f>
        <v>MJP181</v>
      </c>
      <c r="I47" s="2" t="str">
        <f>Data!C40</f>
        <v>Roosters</v>
      </c>
      <c r="J47" s="2" t="str">
        <f>Data!D40</f>
        <v>Sea Eagles</v>
      </c>
      <c r="K47" s="2" t="str">
        <f>Data!E40</f>
        <v>Rabbitohs</v>
      </c>
      <c r="L47" s="2" t="str">
        <f>IF(Data!$S$3&lt;Engine!L$1,0,Data!F40)</f>
        <v>Storm</v>
      </c>
      <c r="M47" s="2" t="str">
        <f>IF(Data!$S$3&lt;Engine!M$1,0,Data!G40)</f>
        <v>Knights</v>
      </c>
      <c r="N47" s="2" t="str">
        <f>IF(Data!$S$3&lt;Engine!N$1,0,Data!H40)</f>
        <v>Panthers</v>
      </c>
      <c r="O47" s="2" t="str">
        <f>IF(Data!$S$3&lt;Engine!O$1,0,Data!I40)</f>
        <v>Cowboys</v>
      </c>
      <c r="P47" s="2" t="str">
        <f>IF(Data!$S$3&lt;Engine!P$1,0,Data!J40)</f>
        <v>Eels</v>
      </c>
      <c r="Q47" s="17" t="str">
        <f>IF(Data!B40=1,Data!K40,"No Tips")</f>
        <v>Storm</v>
      </c>
      <c r="R47" s="2">
        <f>Data!L40</f>
        <v>88</v>
      </c>
      <c r="S47" s="2">
        <f>Data!M40</f>
        <v>2307</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24</v>
      </c>
      <c r="Y47">
        <f t="shared" si="17"/>
        <v>89</v>
      </c>
      <c r="Z47">
        <f t="shared" si="12"/>
        <v>2331</v>
      </c>
      <c r="AA47" s="162">
        <f t="shared" si="13"/>
        <v>89.023310056</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24</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75</v>
      </c>
      <c r="C48" s="162">
        <f t="shared" si="8"/>
        <v>57.017690055000003</v>
      </c>
      <c r="D48">
        <f t="shared" si="19"/>
        <v>74</v>
      </c>
      <c r="E48" s="4" t="str">
        <f t="shared" si="9"/>
        <v>p</v>
      </c>
      <c r="F48">
        <f t="shared" si="10"/>
        <v>1</v>
      </c>
      <c r="G48">
        <v>55</v>
      </c>
      <c r="H48" t="str">
        <f>Data!A41</f>
        <v>MLC</v>
      </c>
      <c r="I48" s="2" t="str">
        <f>Data!C41</f>
        <v>Roosters</v>
      </c>
      <c r="J48" s="2" t="str">
        <f>Data!D41</f>
        <v>Sea Eagles</v>
      </c>
      <c r="K48" s="2" t="str">
        <f>Data!E41</f>
        <v>Broncos</v>
      </c>
      <c r="L48" s="2" t="str">
        <f>IF(Data!$S$3&lt;Engine!L$1,0,Data!F41)</f>
        <v>Storm</v>
      </c>
      <c r="M48" s="2" t="str">
        <f>IF(Data!$S$3&lt;Engine!M$1,0,Data!G41)</f>
        <v>Wests Tigers</v>
      </c>
      <c r="N48" s="2" t="str">
        <f>IF(Data!$S$3&lt;Engine!N$1,0,Data!H41)</f>
        <v>Panthers</v>
      </c>
      <c r="O48" s="2" t="str">
        <f>IF(Data!$S$3&lt;Engine!O$1,0,Data!I41)</f>
        <v>Titans</v>
      </c>
      <c r="P48" s="2" t="str">
        <f>IF(Data!$S$3&lt;Engine!P$1,0,Data!J41)</f>
        <v>Sharks</v>
      </c>
      <c r="Q48" s="17" t="str">
        <f>IF(Data!B41=1,Data!K41,"No Tips")</f>
        <v>Storm</v>
      </c>
      <c r="R48" s="2">
        <f>Data!L41</f>
        <v>57</v>
      </c>
      <c r="S48" s="2">
        <f>Data!M41</f>
        <v>1769</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Y48">
        <f t="shared" si="17"/>
        <v>58</v>
      </c>
      <c r="Z48">
        <f t="shared" si="12"/>
        <v>1793</v>
      </c>
      <c r="AA48" s="162">
        <f t="shared" si="13"/>
        <v>58.017930055000001</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70</v>
      </c>
      <c r="C49" s="162">
        <f t="shared" si="8"/>
        <v>61.020540053999994</v>
      </c>
      <c r="D49">
        <f t="shared" si="19"/>
        <v>69</v>
      </c>
      <c r="E49" s="4" t="str">
        <f t="shared" si="9"/>
        <v>p</v>
      </c>
      <c r="F49">
        <f t="shared" si="10"/>
        <v>1</v>
      </c>
      <c r="G49">
        <v>54</v>
      </c>
      <c r="H49" t="str">
        <f>Data!A42</f>
        <v>Mosso</v>
      </c>
      <c r="I49" s="2" t="str">
        <f>Data!C42</f>
        <v>Roosters</v>
      </c>
      <c r="J49" s="2" t="str">
        <f>Data!D42</f>
        <v>Sea Eagles</v>
      </c>
      <c r="K49" s="2" t="str">
        <f>Data!E42</f>
        <v>Rabbitohs</v>
      </c>
      <c r="L49" s="2" t="str">
        <f>IF(Data!$S$3&lt;Engine!L$1,0,Data!F42)</f>
        <v>Storm</v>
      </c>
      <c r="M49" s="2" t="str">
        <f>IF(Data!$S$3&lt;Engine!M$1,0,Data!G42)</f>
        <v>Wests Tigers</v>
      </c>
      <c r="N49" s="2" t="str">
        <f>IF(Data!$S$3&lt;Engine!N$1,0,Data!H42)</f>
        <v>Panthers</v>
      </c>
      <c r="O49" s="2" t="str">
        <f>IF(Data!$S$3&lt;Engine!O$1,0,Data!I42)</f>
        <v>Titans</v>
      </c>
      <c r="P49" s="2" t="str">
        <f>IF(Data!$S$3&lt;Engine!P$1,0,Data!J42)</f>
        <v>Eels</v>
      </c>
      <c r="Q49" s="17" t="str">
        <f>IF(Data!B42=1,Data!K42,"No Tips")</f>
        <v>Rabbitohs</v>
      </c>
      <c r="R49" s="2">
        <f>Data!L42</f>
        <v>61</v>
      </c>
      <c r="S49" s="2">
        <f>Data!M42</f>
        <v>2054</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24</v>
      </c>
      <c r="Y49">
        <f t="shared" si="17"/>
        <v>62</v>
      </c>
      <c r="Z49">
        <f t="shared" si="12"/>
        <v>2078</v>
      </c>
      <c r="AA49" s="162">
        <f t="shared" si="13"/>
        <v>62.020780053999999</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24</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5</v>
      </c>
      <c r="C50" s="162">
        <f t="shared" si="8"/>
        <v>92.022970052999995</v>
      </c>
      <c r="D50">
        <f t="shared" si="19"/>
        <v>5</v>
      </c>
      <c r="E50" s="4" t="str">
        <f t="shared" si="9"/>
        <v>u</v>
      </c>
      <c r="F50" t="str">
        <f t="shared" si="10"/>
        <v/>
      </c>
      <c r="G50">
        <v>53</v>
      </c>
      <c r="H50" t="str">
        <f>Data!A43</f>
        <v>MR. TAYLOR</v>
      </c>
      <c r="I50" s="2" t="str">
        <f>Data!C43</f>
        <v>Roosters</v>
      </c>
      <c r="J50" s="2" t="str">
        <f>Data!D43</f>
        <v>Sea Eagles</v>
      </c>
      <c r="K50" s="2" t="str">
        <f>Data!E43</f>
        <v>Rabbitohs</v>
      </c>
      <c r="L50" s="2" t="str">
        <f>IF(Data!$S$3&lt;Engine!L$1,0,Data!F43)</f>
        <v>Storm</v>
      </c>
      <c r="M50" s="2" t="str">
        <f>IF(Data!$S$3&lt;Engine!M$1,0,Data!G43)</f>
        <v>Knights</v>
      </c>
      <c r="N50" s="2" t="str">
        <f>IF(Data!$S$3&lt;Engine!N$1,0,Data!H43)</f>
        <v>Panthers</v>
      </c>
      <c r="O50" s="2" t="str">
        <f>IF(Data!$S$3&lt;Engine!O$1,0,Data!I43)</f>
        <v>Cowboys</v>
      </c>
      <c r="P50" s="2" t="str">
        <f>IF(Data!$S$3&lt;Engine!P$1,0,Data!J43)</f>
        <v>Eels</v>
      </c>
      <c r="Q50" s="17" t="str">
        <f>IF(Data!B43=1,Data!K43,"No Tips")</f>
        <v>Storm</v>
      </c>
      <c r="R50" s="2">
        <f>Data!L43</f>
        <v>92</v>
      </c>
      <c r="S50" s="2">
        <f>Data!M43</f>
        <v>2297</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Y50">
        <f t="shared" si="17"/>
        <v>93</v>
      </c>
      <c r="Z50">
        <f t="shared" si="12"/>
        <v>2321</v>
      </c>
      <c r="AA50" s="162">
        <f t="shared" si="13"/>
        <v>93.023210053</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AF50">
        <f>IF(I50="","",IF(Q50="",0,IF(AND(Q50&gt;0,COUNTIF('Stats Calculator'!$T$24:$AA$24,Q50)=1),HLOOKUP(Q50,'Stats Calculator'!$T$24:$AA$27,4,FALSE),IF(AND(Q50&gt;0,COUNTIF('Stats Calculator'!$T$25:$AA$25,Q50)=1),HLOOKUP(Q50,'Stats Calculator'!$T$25:$AA$27,3,FALSE)))))</f>
        <v>4</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53</v>
      </c>
      <c r="C51" s="162">
        <f t="shared" si="8"/>
        <v>75.022010051999999</v>
      </c>
      <c r="D51">
        <f t="shared" si="19"/>
        <v>53</v>
      </c>
      <c r="E51" s="4" t="str">
        <f t="shared" si="9"/>
        <v>u</v>
      </c>
      <c r="F51" t="str">
        <f t="shared" si="10"/>
        <v/>
      </c>
      <c r="G51">
        <v>52</v>
      </c>
      <c r="H51" t="str">
        <f>Data!A44</f>
        <v>murch</v>
      </c>
      <c r="I51" s="2" t="str">
        <f>Data!C44</f>
        <v>Roosters</v>
      </c>
      <c r="J51" s="2" t="str">
        <f>Data!D44</f>
        <v>Sea Eagles</v>
      </c>
      <c r="K51" s="2" t="str">
        <f>Data!E44</f>
        <v>Rabbitohs</v>
      </c>
      <c r="L51" s="2" t="str">
        <f>IF(Data!$S$3&lt;Engine!L$1,0,Data!F44)</f>
        <v>Storm</v>
      </c>
      <c r="M51" s="2" t="str">
        <f>IF(Data!$S$3&lt;Engine!M$1,0,Data!G44)</f>
        <v>Knights</v>
      </c>
      <c r="N51" s="2" t="str">
        <f>IF(Data!$S$3&lt;Engine!N$1,0,Data!H44)</f>
        <v>Panthers</v>
      </c>
      <c r="O51" s="2" t="str">
        <f>IF(Data!$S$3&lt;Engine!O$1,0,Data!I44)</f>
        <v>Titans</v>
      </c>
      <c r="P51" s="2" t="str">
        <f>IF(Data!$S$3&lt;Engine!P$1,0,Data!J44)</f>
        <v>Eels</v>
      </c>
      <c r="Q51" s="17" t="str">
        <f>IF(Data!B44=1,Data!K44,"No Tips")</f>
        <v>Storm</v>
      </c>
      <c r="R51" s="2">
        <f>Data!L44</f>
        <v>75</v>
      </c>
      <c r="S51" s="2">
        <f>Data!M44</f>
        <v>2201</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0</v>
      </c>
      <c r="V51" s="15">
        <f>IF(I51="","",IF(T51=Data!S$3,2,0))</f>
        <v>0</v>
      </c>
      <c r="W51" s="15">
        <f t="shared" si="11"/>
        <v>1</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24</v>
      </c>
      <c r="Y51">
        <f t="shared" si="17"/>
        <v>76</v>
      </c>
      <c r="Z51">
        <f t="shared" si="12"/>
        <v>2225</v>
      </c>
      <c r="AA51" s="162">
        <f t="shared" si="13"/>
        <v>76.022250052000004</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24</v>
      </c>
      <c r="AD51" s="16"/>
      <c r="AE51" s="16"/>
      <c r="AF51">
        <f>IF(I51="","",IF(Q51="",0,IF(AND(Q51&gt;0,COUNTIF('Stats Calculator'!$T$24:$AA$24,Q51)=1),HLOOKUP(Q51,'Stats Calculator'!$T$24:$AA$27,4,FALSE),IF(AND(Q51&gt;0,COUNTIF('Stats Calculator'!$T$25:$AA$25,Q51)=1),HLOOKUP(Q51,'Stats Calculator'!$T$25:$AA$27,3,FALSE)))))</f>
        <v>4</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82</v>
      </c>
      <c r="C52" s="162">
        <f t="shared" si="8"/>
        <v>28.016700051000001</v>
      </c>
      <c r="D52">
        <f t="shared" si="19"/>
        <v>82</v>
      </c>
      <c r="E52" s="4" t="str">
        <f t="shared" si="9"/>
        <v>u</v>
      </c>
      <c r="F52" t="str">
        <f t="shared" si="10"/>
        <v/>
      </c>
      <c r="G52">
        <v>51</v>
      </c>
      <c r="H52" t="str">
        <f>Data!A45</f>
        <v>mynira</v>
      </c>
      <c r="I52" s="2" t="str">
        <f>Data!C45</f>
        <v/>
      </c>
      <c r="J52" s="2" t="str">
        <f>Data!D45</f>
        <v/>
      </c>
      <c r="K52" s="2" t="str">
        <f>Data!E45</f>
        <v/>
      </c>
      <c r="L52" s="2" t="str">
        <f>IF(Data!$S$3&lt;Engine!L$1,0,Data!F45)</f>
        <v/>
      </c>
      <c r="M52" s="2" t="str">
        <f>IF(Data!$S$3&lt;Engine!M$1,0,Data!G45)</f>
        <v/>
      </c>
      <c r="N52" s="2" t="str">
        <f>IF(Data!$S$3&lt;Engine!N$1,0,Data!H45)</f>
        <v/>
      </c>
      <c r="O52" s="2" t="str">
        <f>IF(Data!$S$3&lt;Engine!O$1,0,Data!I45)</f>
        <v/>
      </c>
      <c r="P52" s="2" t="str">
        <f>IF(Data!$S$3&lt;Engine!P$1,0,Data!J45)</f>
        <v/>
      </c>
      <c r="Q52" s="17" t="str">
        <f>IF(Data!B45=1,Data!K45,"No Tips")</f>
        <v>No Tips</v>
      </c>
      <c r="R52" s="2">
        <f>Data!L45</f>
        <v>28</v>
      </c>
      <c r="S52" s="2">
        <f>Data!M45</f>
        <v>1670</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0</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Y52">
        <f t="shared" si="17"/>
        <v>28</v>
      </c>
      <c r="Z52">
        <f t="shared" si="12"/>
        <v>1686</v>
      </c>
      <c r="AA52" s="162">
        <f t="shared" si="13"/>
        <v>28.016860051000002</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73</v>
      </c>
      <c r="C53" s="162">
        <f t="shared" si="8"/>
        <v>58.019320016000002</v>
      </c>
      <c r="D53">
        <f t="shared" si="19"/>
        <v>73</v>
      </c>
      <c r="E53" s="4" t="str">
        <f t="shared" si="9"/>
        <v>u</v>
      </c>
      <c r="F53" t="str">
        <f t="shared" si="10"/>
        <v/>
      </c>
      <c r="G53">
        <v>16</v>
      </c>
      <c r="H53" t="str">
        <f>Data!A80</f>
        <v>Nadeem</v>
      </c>
      <c r="I53" s="2" t="str">
        <f>Data!C80</f>
        <v/>
      </c>
      <c r="J53" s="2" t="str">
        <f>Data!D80</f>
        <v/>
      </c>
      <c r="K53" s="2" t="str">
        <f>Data!E80</f>
        <v/>
      </c>
      <c r="L53" s="2" t="str">
        <f>IF(Data!$S$3&lt;Engine!L$1,0,Data!F80)</f>
        <v/>
      </c>
      <c r="M53" s="2" t="str">
        <f>IF(Data!$S$3&lt;Engine!M$1,0,Data!G80)</f>
        <v/>
      </c>
      <c r="N53" s="2" t="str">
        <f>IF(Data!$S$3&lt;Engine!N$1,0,Data!H80)</f>
        <v/>
      </c>
      <c r="O53" s="2" t="str">
        <f>IF(Data!$S$3&lt;Engine!O$1,0,Data!I80)</f>
        <v/>
      </c>
      <c r="P53" s="2" t="str">
        <f>IF(Data!$S$3&lt;Engine!P$1,0,Data!J80)</f>
        <v/>
      </c>
      <c r="Q53" s="17" t="str">
        <f>IF(Data!B80=1,Data!K80,"No Tips")</f>
        <v>No Tips</v>
      </c>
      <c r="R53" s="2">
        <f>Data!L80</f>
        <v>58</v>
      </c>
      <c r="S53" s="2">
        <f>Data!M80</f>
        <v>1932</v>
      </c>
      <c r="T53" s="15" t="str">
        <f>IF(I53="","",COUNTIF('Live Ladder'!P:P,I53)+COUNTIF('Live Ladder'!P:P,J53)+COUNTIF('Live Ladder'!P:P,K53)+COUNTIF('Live Ladder'!P:P,L53)+COUNTIF('Live Ladder'!P:P,M53)+COUNTIF('Live Ladder'!P:P,N53)+COUNTIF('Live Ladder'!P:P,O53)+COUNTIF('Live Ladder'!P:P,P53))</f>
        <v/>
      </c>
      <c r="U53" s="15" t="str">
        <f>IF(I53="","",IF(COUNTIF('Live Ladder'!P:P,Engine!Q53)=1,2,IF(COUNTIF('Live Ladder'!Q:Q,Engine!Q53)=1,-2,0)))</f>
        <v/>
      </c>
      <c r="V53" s="15" t="str">
        <f>IF(I53="","",IF(T53=Data!S$3,2,0))</f>
        <v/>
      </c>
      <c r="W53" s="15">
        <f t="shared" si="11"/>
        <v>0</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Y53">
        <f t="shared" si="17"/>
        <v>58</v>
      </c>
      <c r="Z53">
        <f t="shared" si="12"/>
        <v>1948</v>
      </c>
      <c r="AA53" s="162">
        <f t="shared" si="13"/>
        <v>58.019480016000003</v>
      </c>
      <c r="AB53">
        <f t="shared" si="16"/>
        <v>0</v>
      </c>
      <c r="AC53" t="str">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
      </c>
      <c r="AF53" t="str">
        <f>IF(I53="","",IF(Q53="",0,IF(AND(Q53&gt;0,COUNTIF('Stats Calculator'!$T$24:$AA$24,Q53)=1),HLOOKUP(Q53,'Stats Calculator'!$T$24:$AA$27,4,FALSE),IF(AND(Q53&gt;0,COUNTIF('Stats Calculator'!$T$25:$AA$25,Q53)=1),HLOOKUP(Q53,'Stats Calculator'!$T$25:$AA$27,3,FALSE)))))</f>
        <v/>
      </c>
      <c r="AG53" t="str">
        <f>IF(I53="","",COUNTIF(I53,'Stats Calculator'!E$31)+COUNTIF(J53,'Stats Calculator'!E$32)+COUNTIF(K53,'Stats Calculator'!E$33)+COUNTIF(L53,'Stats Calculator'!E$34)+COUNTIF(M53,'Stats Calculator'!E$35)+COUNTIF(N53,'Stats Calculator'!E$36)+COUNTIF(O53,'Stats Calculator'!E$37)+COUNTIF(P53,'Stats Calculator'!E$38)-8+Data!S$3)</f>
        <v/>
      </c>
      <c r="AH53" t="str">
        <f>IF(I53="","",IF(Q53="",0,IF(Q53=0,0,IF(VLOOKUP(Engine!AF53,'Stats Calculator'!B$31:E$38,4,FALSE)="",0,IF(VLOOKUP(Engine!AF53,'Stats Calculator'!B$31:E$38,4,FALSE)=Q53,2,-2)))))</f>
        <v/>
      </c>
      <c r="AI53" t="str">
        <f>IF(I53="","",Data!S$3-COUNTA('Stats Calculator'!E$31:E$38))</f>
        <v/>
      </c>
      <c r="AJ53" t="str">
        <f>IF(I53="","",IF(AF53=0,0,IF(VLOOKUP(AF53,'Stats Calculator'!B$31:E$38,4,FALSE)&gt;0,0,2)))</f>
        <v/>
      </c>
      <c r="AK53" t="str">
        <f>IF(I53="","",IF(Data!S$3-Engine!AI53=AG53,2,0))</f>
        <v/>
      </c>
      <c r="AL53" t="str">
        <f t="shared" si="14"/>
        <v/>
      </c>
    </row>
    <row r="54" spans="1:38" x14ac:dyDescent="0.3">
      <c r="A54">
        <v>53</v>
      </c>
      <c r="B54">
        <f t="shared" si="18"/>
        <v>76</v>
      </c>
      <c r="C54" s="162">
        <f t="shared" si="8"/>
        <v>56.019410049999998</v>
      </c>
      <c r="D54">
        <f t="shared" si="19"/>
        <v>75</v>
      </c>
      <c r="E54" s="4" t="str">
        <f t="shared" si="9"/>
        <v>p</v>
      </c>
      <c r="F54">
        <f t="shared" si="10"/>
        <v>1</v>
      </c>
      <c r="G54">
        <v>50</v>
      </c>
      <c r="H54" t="str">
        <f>Data!A46</f>
        <v>nand</v>
      </c>
      <c r="I54" s="2" t="str">
        <f>Data!C46</f>
        <v>Roosters</v>
      </c>
      <c r="J54" s="2" t="str">
        <f>Data!D46</f>
        <v>Sea Eagles</v>
      </c>
      <c r="K54" s="2" t="str">
        <f>Data!E46</f>
        <v>Rabbitohs</v>
      </c>
      <c r="L54" s="2" t="str">
        <f>IF(Data!$S$3&lt;Engine!L$1,0,Data!F46)</f>
        <v>Storm</v>
      </c>
      <c r="M54" s="2" t="str">
        <f>IF(Data!$S$3&lt;Engine!M$1,0,Data!G46)</f>
        <v>Wests Tigers</v>
      </c>
      <c r="N54" s="2" t="str">
        <f>IF(Data!$S$3&lt;Engine!N$1,0,Data!H46)</f>
        <v>Panthers</v>
      </c>
      <c r="O54" s="2" t="str">
        <f>IF(Data!$S$3&lt;Engine!O$1,0,Data!I46)</f>
        <v>Titans</v>
      </c>
      <c r="P54" s="2" t="str">
        <f>IF(Data!$S$3&lt;Engine!P$1,0,Data!J46)</f>
        <v>Eels</v>
      </c>
      <c r="Q54" s="17" t="str">
        <f>IF(Data!B46=1,Data!K46,"No Tips")</f>
        <v>Storm</v>
      </c>
      <c r="R54" s="2">
        <f>Data!L46</f>
        <v>56</v>
      </c>
      <c r="S54" s="2">
        <f>Data!M46</f>
        <v>1941</v>
      </c>
      <c r="T54" s="15">
        <f>IF(I54="","",COUNTIF('Live Ladder'!P:P,I54)+COUNTIF('Live Ladder'!P:P,J54)+COUNTIF('Live Ladder'!P:P,K54)+COUNTIF('Live Ladder'!P:P,L54)+COUNTIF('Live Ladder'!P:P,M54)+COUNTIF('Live Ladder'!P:P,N54)+COUNTIF('Live Ladder'!P:P,O54)+COUNTIF('Live Ladder'!P:P,P54))</f>
        <v>1</v>
      </c>
      <c r="U54" s="15">
        <f>IF(I54="","",IF(COUNTIF('Live Ladder'!P:P,Engine!Q54)=1,2,IF(COUNTIF('Live Ladder'!Q:Q,Engine!Q54)=1,-2,0)))</f>
        <v>0</v>
      </c>
      <c r="V54" s="15">
        <f>IF(I54="","",IF(T54=Data!S$3,2,0))</f>
        <v>0</v>
      </c>
      <c r="W54" s="15">
        <f t="shared" si="11"/>
        <v>1</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24</v>
      </c>
      <c r="Y54">
        <f t="shared" si="17"/>
        <v>57</v>
      </c>
      <c r="Z54">
        <f t="shared" si="12"/>
        <v>1965</v>
      </c>
      <c r="AA54" s="162">
        <f t="shared" si="13"/>
        <v>57.019650049999996</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24</v>
      </c>
      <c r="AF54">
        <f>IF(I54="","",IF(Q54="",0,IF(AND(Q54&gt;0,COUNTIF('Stats Calculator'!$T$24:$AA$24,Q54)=1),HLOOKUP(Q54,'Stats Calculator'!$T$24:$AA$27,4,FALSE),IF(AND(Q54&gt;0,COUNTIF('Stats Calculator'!$T$25:$AA$25,Q54)=1),HLOOKUP(Q54,'Stats Calculator'!$T$25:$AA$27,3,FALSE)))))</f>
        <v>4</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
      <c r="A55">
        <v>54</v>
      </c>
      <c r="B55">
        <f t="shared" si="18"/>
        <v>61</v>
      </c>
      <c r="C55" s="162">
        <f t="shared" si="8"/>
        <v>71.021140048999996</v>
      </c>
      <c r="D55">
        <f t="shared" si="19"/>
        <v>61</v>
      </c>
      <c r="E55" s="4" t="str">
        <f t="shared" si="9"/>
        <v>u</v>
      </c>
      <c r="F55" t="str">
        <f t="shared" si="10"/>
        <v/>
      </c>
      <c r="G55">
        <v>49</v>
      </c>
      <c r="H55" t="str">
        <f>Data!A47</f>
        <v>NotLast</v>
      </c>
      <c r="I55" s="2" t="str">
        <f>Data!C47</f>
        <v>Roosters</v>
      </c>
      <c r="J55" s="2" t="str">
        <f>Data!D47</f>
        <v>Sea Eagles</v>
      </c>
      <c r="K55" s="2" t="str">
        <f>Data!E47</f>
        <v>Rabbitohs</v>
      </c>
      <c r="L55" s="2" t="str">
        <f>IF(Data!$S$3&lt;Engine!L$1,0,Data!F47)</f>
        <v>Storm</v>
      </c>
      <c r="M55" s="2" t="str">
        <f>IF(Data!$S$3&lt;Engine!M$1,0,Data!G47)</f>
        <v>Knights</v>
      </c>
      <c r="N55" s="2" t="str">
        <f>IF(Data!$S$3&lt;Engine!N$1,0,Data!H47)</f>
        <v>Panthers</v>
      </c>
      <c r="O55" s="2" t="str">
        <f>IF(Data!$S$3&lt;Engine!O$1,0,Data!I47)</f>
        <v>Titans</v>
      </c>
      <c r="P55" s="2" t="str">
        <f>IF(Data!$S$3&lt;Engine!P$1,0,Data!J47)</f>
        <v>Eels</v>
      </c>
      <c r="Q55" s="17" t="str">
        <f>IF(Data!B47=1,Data!K47,"No Tips")</f>
        <v>Storm</v>
      </c>
      <c r="R55" s="2">
        <f>Data!L47</f>
        <v>71</v>
      </c>
      <c r="S55" s="2">
        <f>Data!M47</f>
        <v>2114</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0</v>
      </c>
      <c r="V55" s="15">
        <f>IF(I55="","",IF(T55=Data!S$3,2,0))</f>
        <v>0</v>
      </c>
      <c r="W55" s="15">
        <f t="shared" si="11"/>
        <v>1</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24</v>
      </c>
      <c r="Y55">
        <f t="shared" si="17"/>
        <v>72</v>
      </c>
      <c r="Z55">
        <f t="shared" si="12"/>
        <v>2138</v>
      </c>
      <c r="AA55" s="162">
        <f t="shared" si="13"/>
        <v>72.021380048999987</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24</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18</v>
      </c>
      <c r="C56" s="162">
        <f t="shared" si="8"/>
        <v>88.023090048</v>
      </c>
      <c r="D56">
        <f t="shared" si="19"/>
        <v>11</v>
      </c>
      <c r="E56" s="4" t="str">
        <f t="shared" si="9"/>
        <v>p</v>
      </c>
      <c r="F56">
        <f t="shared" si="10"/>
        <v>7</v>
      </c>
      <c r="G56">
        <v>48</v>
      </c>
      <c r="H56" t="str">
        <f>Data!A48</f>
        <v>Offside_Touchie</v>
      </c>
      <c r="I56" s="2" t="str">
        <f>Data!C48</f>
        <v>Roosters</v>
      </c>
      <c r="J56" s="2" t="str">
        <f>Data!D48</f>
        <v>Sea Eagles</v>
      </c>
      <c r="K56" s="2" t="str">
        <f>Data!E48</f>
        <v>Rabbitohs</v>
      </c>
      <c r="L56" s="2" t="str">
        <f>IF(Data!$S$3&lt;Engine!L$1,0,Data!F48)</f>
        <v>Storm</v>
      </c>
      <c r="M56" s="2" t="str">
        <f>IF(Data!$S$3&lt;Engine!M$1,0,Data!G48)</f>
        <v>Knights</v>
      </c>
      <c r="N56" s="2" t="str">
        <f>IF(Data!$S$3&lt;Engine!N$1,0,Data!H48)</f>
        <v>Panthers</v>
      </c>
      <c r="O56" s="2" t="str">
        <f>IF(Data!$S$3&lt;Engine!O$1,0,Data!I48)</f>
        <v>Titans</v>
      </c>
      <c r="P56" s="2" t="str">
        <f>IF(Data!$S$3&lt;Engine!P$1,0,Data!J48)</f>
        <v>Eels</v>
      </c>
      <c r="Q56" s="17" t="str">
        <f>IF(Data!B48=1,Data!K48,"No Tips")</f>
        <v>Roosters</v>
      </c>
      <c r="R56" s="2">
        <f>Data!L48</f>
        <v>88</v>
      </c>
      <c r="S56" s="2">
        <f>Data!M48</f>
        <v>2309</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2</v>
      </c>
      <c r="V56" s="15">
        <f>IF(I56="","",IF(T56=Data!S$3,2,0))</f>
        <v>0</v>
      </c>
      <c r="W56" s="15">
        <f t="shared" si="11"/>
        <v>3</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24</v>
      </c>
      <c r="Y56">
        <f t="shared" si="17"/>
        <v>91</v>
      </c>
      <c r="Z56">
        <f t="shared" si="12"/>
        <v>2333</v>
      </c>
      <c r="AA56" s="162">
        <f t="shared" si="13"/>
        <v>91.023330048000005</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24</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7</v>
      </c>
      <c r="AJ56">
        <f>IF(I56="","",IF(AF56=0,0,IF(VLOOKUP(AF56,'Stats Calculator'!B$31:E$38,4,FALSE)&gt;0,0,2)))</f>
        <v>0</v>
      </c>
      <c r="AK56">
        <f>IF(I56="","",IF(Data!S$3-Engine!AI56=AG56,2,0))</f>
        <v>2</v>
      </c>
      <c r="AL56">
        <f t="shared" si="14"/>
        <v>12</v>
      </c>
    </row>
    <row r="57" spans="1:38" x14ac:dyDescent="0.3">
      <c r="A57">
        <v>56</v>
      </c>
      <c r="B57">
        <f t="shared" si="18"/>
        <v>20</v>
      </c>
      <c r="C57" s="162">
        <f t="shared" si="8"/>
        <v>87.022860046999995</v>
      </c>
      <c r="D57">
        <f t="shared" si="19"/>
        <v>14</v>
      </c>
      <c r="E57" s="4" t="str">
        <f t="shared" si="9"/>
        <v>p</v>
      </c>
      <c r="F57">
        <f t="shared" si="10"/>
        <v>6</v>
      </c>
      <c r="G57">
        <v>47</v>
      </c>
      <c r="H57" t="str">
        <f>Data!A49</f>
        <v>Om786</v>
      </c>
      <c r="I57" s="2" t="str">
        <f>Data!C49</f>
        <v>Roosters</v>
      </c>
      <c r="J57" s="2" t="str">
        <f>Data!D49</f>
        <v>Sea Eagles</v>
      </c>
      <c r="K57" s="2" t="str">
        <f>Data!E49</f>
        <v>Rabbitohs</v>
      </c>
      <c r="L57" s="2" t="str">
        <f>IF(Data!$S$3&lt;Engine!L$1,0,Data!F49)</f>
        <v>Storm</v>
      </c>
      <c r="M57" s="2" t="str">
        <f>IF(Data!$S$3&lt;Engine!M$1,0,Data!G49)</f>
        <v>Knights</v>
      </c>
      <c r="N57" s="2" t="str">
        <f>IF(Data!$S$3&lt;Engine!N$1,0,Data!H49)</f>
        <v>Panthers</v>
      </c>
      <c r="O57" s="2" t="str">
        <f>IF(Data!$S$3&lt;Engine!O$1,0,Data!I49)</f>
        <v>Cowboys</v>
      </c>
      <c r="P57" s="2" t="str">
        <f>IF(Data!$S$3&lt;Engine!P$1,0,Data!J49)</f>
        <v>Eels</v>
      </c>
      <c r="Q57" s="17" t="str">
        <f>IF(Data!B49=1,Data!K49,"No Tips")</f>
        <v>Roosters</v>
      </c>
      <c r="R57" s="2">
        <f>Data!L49</f>
        <v>87</v>
      </c>
      <c r="S57" s="2">
        <f>Data!M49</f>
        <v>2286</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2</v>
      </c>
      <c r="V57" s="15">
        <f>IF(I57="","",IF(T57=Data!S$3,2,0))</f>
        <v>0</v>
      </c>
      <c r="W57" s="15">
        <f t="shared" si="11"/>
        <v>3</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24</v>
      </c>
      <c r="Y57">
        <f t="shared" si="17"/>
        <v>90</v>
      </c>
      <c r="Z57">
        <f t="shared" si="12"/>
        <v>2310</v>
      </c>
      <c r="AA57" s="162">
        <f t="shared" si="13"/>
        <v>90.023100047</v>
      </c>
      <c r="AB57">
        <f t="shared" si="16"/>
        <v>3</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24</v>
      </c>
      <c r="AF57">
        <f>IF(I57="","",IF(Q57="",0,IF(AND(Q57&gt;0,COUNTIF('Stats Calculator'!$T$24:$AA$24,Q57)=1),HLOOKUP(Q57,'Stats Calculator'!$T$24:$AA$27,4,FALSE),IF(AND(Q57&gt;0,COUNTIF('Stats Calculator'!$T$25:$AA$25,Q57)=1),HLOOKUP(Q57,'Stats Calculator'!$T$25:$AA$27,3,FALSE)))))</f>
        <v>1</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2</v>
      </c>
      <c r="AI57">
        <f>IF(I57="","",Data!S$3-COUNTA('Stats Calculator'!E$31:E$38))</f>
        <v>7</v>
      </c>
      <c r="AJ57">
        <f>IF(I57="","",IF(AF57=0,0,IF(VLOOKUP(AF57,'Stats Calculator'!B$31:E$38,4,FALSE)&gt;0,0,2)))</f>
        <v>0</v>
      </c>
      <c r="AK57">
        <f>IF(I57="","",IF(Data!S$3-Engine!AI57=AG57,2,0))</f>
        <v>2</v>
      </c>
      <c r="AL57">
        <f t="shared" si="14"/>
        <v>12</v>
      </c>
    </row>
    <row r="58" spans="1:38" x14ac:dyDescent="0.3">
      <c r="A58">
        <v>57</v>
      </c>
      <c r="B58">
        <f t="shared" si="18"/>
        <v>22</v>
      </c>
      <c r="C58" s="162">
        <f t="shared" si="8"/>
        <v>87.022470045999995</v>
      </c>
      <c r="D58">
        <f t="shared" si="19"/>
        <v>21</v>
      </c>
      <c r="E58" s="4" t="str">
        <f t="shared" si="9"/>
        <v>p</v>
      </c>
      <c r="F58">
        <f t="shared" si="10"/>
        <v>1</v>
      </c>
      <c r="G58">
        <v>46</v>
      </c>
      <c r="H58" t="str">
        <f>Data!A50</f>
        <v>Pablo</v>
      </c>
      <c r="I58" s="2" t="str">
        <f>Data!C50</f>
        <v>Roosters</v>
      </c>
      <c r="J58" s="2" t="str">
        <f>Data!D50</f>
        <v>Sea Eagles</v>
      </c>
      <c r="K58" s="2" t="str">
        <f>Data!E50</f>
        <v>Rabbitohs</v>
      </c>
      <c r="L58" s="2" t="str">
        <f>IF(Data!$S$3&lt;Engine!L$1,0,Data!F50)</f>
        <v>Storm</v>
      </c>
      <c r="M58" s="2" t="str">
        <f>IF(Data!$S$3&lt;Engine!M$1,0,Data!G50)</f>
        <v>Knights</v>
      </c>
      <c r="N58" s="2" t="str">
        <f>IF(Data!$S$3&lt;Engine!N$1,0,Data!H50)</f>
        <v>Panthers</v>
      </c>
      <c r="O58" s="2" t="str">
        <f>IF(Data!$S$3&lt;Engine!O$1,0,Data!I50)</f>
        <v>Cowboys</v>
      </c>
      <c r="P58" s="2" t="str">
        <f>IF(Data!$S$3&lt;Engine!P$1,0,Data!J50)</f>
        <v>Eels</v>
      </c>
      <c r="Q58" s="17" t="str">
        <f>IF(Data!B50=1,Data!K50,"No Tips")</f>
        <v>Storm</v>
      </c>
      <c r="R58" s="2">
        <f>Data!L50</f>
        <v>87</v>
      </c>
      <c r="S58" s="2">
        <f>Data!M50</f>
        <v>2247</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24</v>
      </c>
      <c r="Y58">
        <f t="shared" si="17"/>
        <v>88</v>
      </c>
      <c r="Z58">
        <f t="shared" si="12"/>
        <v>2271</v>
      </c>
      <c r="AA58" s="162">
        <f t="shared" si="13"/>
        <v>88.022710046</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24</v>
      </c>
      <c r="AF58">
        <f>IF(I58="","",IF(Q58="",0,IF(AND(Q58&gt;0,COUNTIF('Stats Calculator'!$T$24:$AA$24,Q58)=1),HLOOKUP(Q58,'Stats Calculator'!$T$24:$AA$27,4,FALSE),IF(AND(Q58&gt;0,COUNTIF('Stats Calculator'!$T$25:$AA$25,Q58)=1),HLOOKUP(Q58,'Stats Calculator'!$T$25:$AA$27,3,FALSE)))))</f>
        <v>4</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f t="shared" si="18"/>
        <v>11</v>
      </c>
      <c r="C59" s="162">
        <f t="shared" si="8"/>
        <v>90.022890044999997</v>
      </c>
      <c r="D59">
        <f t="shared" si="19"/>
        <v>12</v>
      </c>
      <c r="E59" s="4" t="str">
        <f t="shared" si="9"/>
        <v>q</v>
      </c>
      <c r="F59">
        <f t="shared" si="10"/>
        <v>1</v>
      </c>
      <c r="G59">
        <v>45</v>
      </c>
      <c r="H59" t="str">
        <f>Data!A51</f>
        <v>PabloW</v>
      </c>
      <c r="I59" s="2" t="str">
        <f>Data!C51</f>
        <v>Roosters</v>
      </c>
      <c r="J59" s="2" t="str">
        <f>Data!D51</f>
        <v>Sea Eagles</v>
      </c>
      <c r="K59" s="2" t="str">
        <f>Data!E51</f>
        <v>Rabbitohs</v>
      </c>
      <c r="L59" s="2" t="str">
        <f>IF(Data!$S$3&lt;Engine!L$1,0,Data!F51)</f>
        <v>Storm</v>
      </c>
      <c r="M59" s="2" t="str">
        <f>IF(Data!$S$3&lt;Engine!M$1,0,Data!G51)</f>
        <v>Knights</v>
      </c>
      <c r="N59" s="2" t="str">
        <f>IF(Data!$S$3&lt;Engine!N$1,0,Data!H51)</f>
        <v>Panthers</v>
      </c>
      <c r="O59" s="2" t="str">
        <f>IF(Data!$S$3&lt;Engine!O$1,0,Data!I51)</f>
        <v>Cowboys</v>
      </c>
      <c r="P59" s="2" t="str">
        <f>IF(Data!$S$3&lt;Engine!P$1,0,Data!J51)</f>
        <v>Eels</v>
      </c>
      <c r="Q59" s="17" t="str">
        <f>IF(Data!B51=1,Data!K51,"No Tips")</f>
        <v>Storm</v>
      </c>
      <c r="R59" s="2">
        <f>Data!L51</f>
        <v>90</v>
      </c>
      <c r="S59" s="2">
        <f>Data!M51</f>
        <v>2289</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0</v>
      </c>
      <c r="V59" s="15">
        <f>IF(I59="","",IF(T59=Data!S$3,2,0))</f>
        <v>0</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24</v>
      </c>
      <c r="Y59">
        <f t="shared" si="17"/>
        <v>91</v>
      </c>
      <c r="Z59">
        <f t="shared" si="12"/>
        <v>2313</v>
      </c>
      <c r="AA59" s="162">
        <f t="shared" si="13"/>
        <v>91.023130044999988</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24</v>
      </c>
      <c r="AF59">
        <f>IF(I59="","",IF(Q59="",0,IF(AND(Q59&gt;0,COUNTIF('Stats Calculator'!$T$24:$AA$24,Q59)=1),HLOOKUP(Q59,'Stats Calculator'!$T$24:$AA$27,4,FALSE),IF(AND(Q59&gt;0,COUNTIF('Stats Calculator'!$T$25:$AA$25,Q59)=1),HLOOKUP(Q59,'Stats Calculator'!$T$25:$AA$27,3,FALSE)))))</f>
        <v>4</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2</v>
      </c>
      <c r="AL59">
        <f t="shared" si="14"/>
        <v>12</v>
      </c>
    </row>
    <row r="60" spans="1:38" x14ac:dyDescent="0.3">
      <c r="A60">
        <v>59</v>
      </c>
      <c r="B60">
        <f t="shared" si="18"/>
        <v>21</v>
      </c>
      <c r="C60" s="162">
        <f t="shared" si="8"/>
        <v>87.022690044000001</v>
      </c>
      <c r="D60">
        <f t="shared" si="19"/>
        <v>27</v>
      </c>
      <c r="E60" s="4" t="str">
        <f t="shared" si="9"/>
        <v>q</v>
      </c>
      <c r="F60">
        <f t="shared" si="10"/>
        <v>6</v>
      </c>
      <c r="G60">
        <v>44</v>
      </c>
      <c r="H60" t="str">
        <f>Data!A52</f>
        <v>Panthers29</v>
      </c>
      <c r="I60" s="2" t="str">
        <f>Data!C52</f>
        <v>Dragons</v>
      </c>
      <c r="J60" s="2" t="str">
        <f>Data!D52</f>
        <v>Sea Eagles</v>
      </c>
      <c r="K60" s="2" t="str">
        <f>Data!E52</f>
        <v>Rabbitohs</v>
      </c>
      <c r="L60" s="2" t="str">
        <f>IF(Data!$S$3&lt;Engine!L$1,0,Data!F52)</f>
        <v>Storm</v>
      </c>
      <c r="M60" s="2" t="str">
        <f>IF(Data!$S$3&lt;Engine!M$1,0,Data!G52)</f>
        <v>Knights</v>
      </c>
      <c r="N60" s="2" t="str">
        <f>IF(Data!$S$3&lt;Engine!N$1,0,Data!H52)</f>
        <v>Panthers</v>
      </c>
      <c r="O60" s="2" t="str">
        <f>IF(Data!$S$3&lt;Engine!O$1,0,Data!I52)</f>
        <v>Cowboys</v>
      </c>
      <c r="P60" s="2" t="str">
        <f>IF(Data!$S$3&lt;Engine!P$1,0,Data!J52)</f>
        <v>Eels</v>
      </c>
      <c r="Q60" s="17" t="str">
        <f>IF(Data!B52=1,Data!K52,"No Tips")</f>
        <v>Sea Eagles</v>
      </c>
      <c r="R60" s="2">
        <f>Data!L52</f>
        <v>87</v>
      </c>
      <c r="S60" s="2">
        <f>Data!M52</f>
        <v>2269</v>
      </c>
      <c r="T60" s="15">
        <f>IF(I60="","",COUNTIF('Live Ladder'!P:P,I60)+COUNTIF('Live Ladder'!P:P,J60)+COUNTIF('Live Ladder'!P:P,K60)+COUNTIF('Live Ladder'!P:P,L60)+COUNTIF('Live Ladder'!P:P,M60)+COUNTIF('Live Ladder'!P:P,N60)+COUNTIF('Live Ladder'!P:P,O60)+COUNTIF('Live Ladder'!P:P,P60))</f>
        <v>0</v>
      </c>
      <c r="U60" s="15">
        <f>IF(I60="","",IF(COUNTIF('Live Ladder'!P:P,Engine!Q60)=1,2,IF(COUNTIF('Live Ladder'!Q:Q,Engine!Q60)=1,-2,0)))</f>
        <v>0</v>
      </c>
      <c r="V60" s="15">
        <f>IF(I60="","",IF(T60=Data!S$3,2,0))</f>
        <v>0</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Y60">
        <f t="shared" si="17"/>
        <v>87</v>
      </c>
      <c r="Z60">
        <f t="shared" si="12"/>
        <v>2285</v>
      </c>
      <c r="AA60" s="162">
        <f t="shared" si="13"/>
        <v>87.022850044000009</v>
      </c>
      <c r="AB60">
        <f t="shared" si="16"/>
        <v>0</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AF60">
        <f>IF(I60="","",IF(Q60="",0,IF(AND(Q60&gt;0,COUNTIF('Stats Calculator'!$T$24:$AA$24,Q60)=1),HLOOKUP(Q60,'Stats Calculator'!$T$24:$AA$27,4,FALSE),IF(AND(Q60&gt;0,COUNTIF('Stats Calculator'!$T$25:$AA$25,Q60)=1),HLOOKUP(Q60,'Stats Calculator'!$T$25:$AA$27,3,FALSE)))))</f>
        <v>2</v>
      </c>
      <c r="AG60">
        <f>IF(I60="","",COUNTIF(I60,'Stats Calculator'!E$31)+COUNTIF(J60,'Stats Calculator'!E$32)+COUNTIF(K60,'Stats Calculator'!E$33)+COUNTIF(L60,'Stats Calculator'!E$34)+COUNTIF(M60,'Stats Calculator'!E$35)+COUNTIF(N60,'Stats Calculator'!E$36)+COUNTIF(O60,'Stats Calculator'!E$37)+COUNTIF(P60,'Stats Calculator'!E$38)-8+Data!S$3)</f>
        <v>0</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0</v>
      </c>
      <c r="AL60">
        <f t="shared" si="14"/>
        <v>9</v>
      </c>
    </row>
    <row r="61" spans="1:38" x14ac:dyDescent="0.3">
      <c r="A61">
        <v>60</v>
      </c>
      <c r="B61">
        <f t="shared" si="18"/>
        <v>30</v>
      </c>
      <c r="C61" s="162">
        <f t="shared" si="8"/>
        <v>86.022210025999996</v>
      </c>
      <c r="D61">
        <f t="shared" si="19"/>
        <v>34</v>
      </c>
      <c r="E61" s="4" t="str">
        <f t="shared" si="9"/>
        <v>q</v>
      </c>
      <c r="F61">
        <f t="shared" si="10"/>
        <v>4</v>
      </c>
      <c r="G61">
        <v>26</v>
      </c>
      <c r="H61" t="str">
        <f>Data!A70</f>
        <v>Pepi</v>
      </c>
      <c r="I61" s="2" t="str">
        <f>Data!C70</f>
        <v>Dragons</v>
      </c>
      <c r="J61" s="2" t="str">
        <f>Data!D70</f>
        <v>Sea Eagles</v>
      </c>
      <c r="K61" s="2" t="str">
        <f>Data!E70</f>
        <v>Rabbitohs</v>
      </c>
      <c r="L61" s="2" t="str">
        <f>IF(Data!$S$3&lt;Engine!L$1,0,Data!F70)</f>
        <v>Storm</v>
      </c>
      <c r="M61" s="2" t="str">
        <f>IF(Data!$S$3&lt;Engine!M$1,0,Data!G70)</f>
        <v>Knights</v>
      </c>
      <c r="N61" s="2" t="str">
        <f>IF(Data!$S$3&lt;Engine!N$1,0,Data!H70)</f>
        <v>Raiders</v>
      </c>
      <c r="O61" s="2" t="str">
        <f>IF(Data!$S$3&lt;Engine!O$1,0,Data!I70)</f>
        <v>Cowboys</v>
      </c>
      <c r="P61" s="2" t="str">
        <f>IF(Data!$S$3&lt;Engine!P$1,0,Data!J70)</f>
        <v>Sharks</v>
      </c>
      <c r="Q61" s="17" t="str">
        <f>IF(Data!B70=1,Data!K70,"No Tips")</f>
        <v>Storm</v>
      </c>
      <c r="R61" s="2">
        <f>Data!L70</f>
        <v>86</v>
      </c>
      <c r="S61" s="2">
        <f>Data!M70</f>
        <v>2221</v>
      </c>
      <c r="T61" s="15">
        <f>IF(I61="","",COUNTIF('Live Ladder'!P:P,I61)+COUNTIF('Live Ladder'!P:P,J61)+COUNTIF('Live Ladder'!P:P,K61)+COUNTIF('Live Ladder'!P:P,L61)+COUNTIF('Live Ladder'!P:P,M61)+COUNTIF('Live Ladder'!P:P,N61)+COUNTIF('Live Ladder'!P:P,O61)+COUNTIF('Live Ladder'!P:P,P61))</f>
        <v>0</v>
      </c>
      <c r="U61" s="15">
        <f>IF(I61="","",IF(COUNTIF('Live Ladder'!P:P,Engine!Q61)=1,2,IF(COUNTIF('Live Ladder'!Q:Q,Engine!Q61)=1,-2,0)))</f>
        <v>0</v>
      </c>
      <c r="V61" s="15">
        <f>IF(I61="","",IF(T61=Data!S$3,2,0))</f>
        <v>0</v>
      </c>
      <c r="W61" s="15">
        <f t="shared" si="11"/>
        <v>0</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Y61">
        <f t="shared" si="17"/>
        <v>86</v>
      </c>
      <c r="Z61">
        <f t="shared" si="12"/>
        <v>2237</v>
      </c>
      <c r="AA61" s="162">
        <f t="shared" si="13"/>
        <v>86.02237002599999</v>
      </c>
      <c r="AB61">
        <f t="shared" si="16"/>
        <v>0</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AF61">
        <f>IF(I61="","",IF(Q61="",0,IF(AND(Q61&gt;0,COUNTIF('Stats Calculator'!$T$24:$AA$24,Q61)=1),HLOOKUP(Q61,'Stats Calculator'!$T$24:$AA$27,4,FALSE),IF(AND(Q61&gt;0,COUNTIF('Stats Calculator'!$T$25:$AA$25,Q61)=1),HLOOKUP(Q61,'Stats Calculator'!$T$25:$AA$27,3,FALSE)))))</f>
        <v>4</v>
      </c>
      <c r="AG61">
        <f>IF(I61="","",COUNTIF(I61,'Stats Calculator'!E$31)+COUNTIF(J61,'Stats Calculator'!E$32)+COUNTIF(K61,'Stats Calculator'!E$33)+COUNTIF(L61,'Stats Calculator'!E$34)+COUNTIF(M61,'Stats Calculator'!E$35)+COUNTIF(N61,'Stats Calculator'!E$36)+COUNTIF(O61,'Stats Calculator'!E$37)+COUNTIF(P61,'Stats Calculator'!E$38)-8+Data!S$3)</f>
        <v>0</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0</v>
      </c>
      <c r="AL61">
        <f t="shared" si="14"/>
        <v>9</v>
      </c>
    </row>
    <row r="62" spans="1:38" x14ac:dyDescent="0.3">
      <c r="A62">
        <v>61</v>
      </c>
      <c r="B62">
        <f t="shared" si="18"/>
        <v>35</v>
      </c>
      <c r="C62" s="162">
        <f t="shared" si="8"/>
        <v>84.023040042999995</v>
      </c>
      <c r="D62">
        <f t="shared" si="19"/>
        <v>25</v>
      </c>
      <c r="E62" s="4" t="str">
        <f t="shared" si="9"/>
        <v>p</v>
      </c>
      <c r="F62">
        <f t="shared" si="10"/>
        <v>10</v>
      </c>
      <c r="G62">
        <v>43</v>
      </c>
      <c r="H62" t="str">
        <f>Data!A53</f>
        <v>plugger</v>
      </c>
      <c r="I62" s="2" t="str">
        <f>Data!C53</f>
        <v>Roosters</v>
      </c>
      <c r="J62" s="2" t="str">
        <f>Data!D53</f>
        <v>Sea Eagles</v>
      </c>
      <c r="K62" s="2" t="str">
        <f>Data!E53</f>
        <v>Rabbitohs</v>
      </c>
      <c r="L62" s="2" t="str">
        <f>IF(Data!$S$3&lt;Engine!L$1,0,Data!F53)</f>
        <v>Storm</v>
      </c>
      <c r="M62" s="2" t="str">
        <f>IF(Data!$S$3&lt;Engine!M$1,0,Data!G53)</f>
        <v>Knights</v>
      </c>
      <c r="N62" s="2" t="str">
        <f>IF(Data!$S$3&lt;Engine!N$1,0,Data!H53)</f>
        <v>Panthers</v>
      </c>
      <c r="O62" s="2" t="str">
        <f>IF(Data!$S$3&lt;Engine!O$1,0,Data!I53)</f>
        <v>Cowboys</v>
      </c>
      <c r="P62" s="2" t="str">
        <f>IF(Data!$S$3&lt;Engine!P$1,0,Data!J53)</f>
        <v>Eels</v>
      </c>
      <c r="Q62" s="17" t="str">
        <f>IF(Data!B53=1,Data!K53,"No Tips")</f>
        <v>Roosters</v>
      </c>
      <c r="R62" s="2">
        <f>Data!L53</f>
        <v>84</v>
      </c>
      <c r="S62" s="2">
        <f>Data!M53</f>
        <v>2304</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2</v>
      </c>
      <c r="V62" s="15">
        <f>IF(I62="","",IF(T62=Data!S$3,2,0))</f>
        <v>0</v>
      </c>
      <c r="W62" s="15">
        <f t="shared" si="11"/>
        <v>3</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24</v>
      </c>
      <c r="Y62">
        <f t="shared" si="17"/>
        <v>87</v>
      </c>
      <c r="Z62">
        <f t="shared" si="12"/>
        <v>2328</v>
      </c>
      <c r="AA62" s="162">
        <f t="shared" si="13"/>
        <v>87.023280043</v>
      </c>
      <c r="AB62">
        <f t="shared" si="16"/>
        <v>3</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24</v>
      </c>
      <c r="AF62">
        <f>IF(I62="","",IF(Q62="",0,IF(AND(Q62&gt;0,COUNTIF('Stats Calculator'!$T$24:$AA$24,Q62)=1),HLOOKUP(Q62,'Stats Calculator'!$T$24:$AA$27,4,FALSE),IF(AND(Q62&gt;0,COUNTIF('Stats Calculator'!$T$25:$AA$25,Q62)=1),HLOOKUP(Q62,'Stats Calculator'!$T$25:$AA$27,3,FALSE)))))</f>
        <v>1</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2</v>
      </c>
      <c r="AI62">
        <f>IF(I62="","",Data!S$3-COUNTA('Stats Calculator'!E$31:E$38))</f>
        <v>7</v>
      </c>
      <c r="AJ62">
        <f>IF(I62="","",IF(AF62=0,0,IF(VLOOKUP(AF62,'Stats Calculator'!B$31:E$38,4,FALSE)&gt;0,0,2)))</f>
        <v>0</v>
      </c>
      <c r="AK62">
        <f>IF(I62="","",IF(Data!S$3-Engine!AI62=AG62,2,0))</f>
        <v>2</v>
      </c>
      <c r="AL62">
        <f t="shared" si="14"/>
        <v>12</v>
      </c>
    </row>
    <row r="63" spans="1:38" x14ac:dyDescent="0.3">
      <c r="A63">
        <v>62</v>
      </c>
      <c r="B63">
        <f t="shared" si="18"/>
        <v>78</v>
      </c>
      <c r="C63" s="162">
        <f t="shared" si="8"/>
        <v>48.018460042000001</v>
      </c>
      <c r="D63">
        <f t="shared" si="19"/>
        <v>78</v>
      </c>
      <c r="E63" s="4" t="str">
        <f t="shared" si="9"/>
        <v>u</v>
      </c>
      <c r="F63" t="str">
        <f t="shared" si="10"/>
        <v/>
      </c>
      <c r="G63">
        <v>42</v>
      </c>
      <c r="H63" t="str">
        <f>Data!A54</f>
        <v>PurpleHaze</v>
      </c>
      <c r="I63" s="2" t="str">
        <f>Data!C54</f>
        <v/>
      </c>
      <c r="J63" s="2" t="str">
        <f>Data!D54</f>
        <v/>
      </c>
      <c r="K63" s="2" t="str">
        <f>Data!E54</f>
        <v/>
      </c>
      <c r="L63" s="2" t="str">
        <f>IF(Data!$S$3&lt;Engine!L$1,0,Data!F54)</f>
        <v/>
      </c>
      <c r="M63" s="2" t="str">
        <f>IF(Data!$S$3&lt;Engine!M$1,0,Data!G54)</f>
        <v/>
      </c>
      <c r="N63" s="2" t="str">
        <f>IF(Data!$S$3&lt;Engine!N$1,0,Data!H54)</f>
        <v/>
      </c>
      <c r="O63" s="2" t="str">
        <f>IF(Data!$S$3&lt;Engine!O$1,0,Data!I54)</f>
        <v/>
      </c>
      <c r="P63" s="2" t="str">
        <f>IF(Data!$S$3&lt;Engine!P$1,0,Data!J54)</f>
        <v/>
      </c>
      <c r="Q63" s="17" t="str">
        <f>IF(Data!B54=1,Data!K54,"No Tips")</f>
        <v>No Tips</v>
      </c>
      <c r="R63" s="2">
        <f>Data!L54</f>
        <v>48</v>
      </c>
      <c r="S63" s="2">
        <f>Data!M54</f>
        <v>1846</v>
      </c>
      <c r="T63" s="15" t="str">
        <f>IF(I63="","",COUNTIF('Live Ladder'!P:P,I63)+COUNTIF('Live Ladder'!P:P,J63)+COUNTIF('Live Ladder'!P:P,K63)+COUNTIF('Live Ladder'!P:P,L63)+COUNTIF('Live Ladder'!P:P,M63)+COUNTIF('Live Ladder'!P:P,N63)+COUNTIF('Live Ladder'!P:P,O63)+COUNTIF('Live Ladder'!P:P,P63))</f>
        <v/>
      </c>
      <c r="U63" s="15" t="str">
        <f>IF(I63="","",IF(COUNTIF('Live Ladder'!P:P,Engine!Q63)=1,2,IF(COUNTIF('Live Ladder'!Q:Q,Engine!Q63)=1,-2,0)))</f>
        <v/>
      </c>
      <c r="V63" s="15" t="str">
        <f>IF(I63="","",IF(T63=Data!S$3,2,0))</f>
        <v/>
      </c>
      <c r="W63" s="15">
        <f t="shared" si="11"/>
        <v>0</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16</v>
      </c>
      <c r="Y63">
        <f t="shared" si="17"/>
        <v>48</v>
      </c>
      <c r="Z63">
        <f t="shared" si="12"/>
        <v>1862</v>
      </c>
      <c r="AA63" s="162">
        <f t="shared" si="13"/>
        <v>48.018620042000002</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f t="shared" si="18"/>
        <v>42</v>
      </c>
      <c r="C64" s="162">
        <f t="shared" si="8"/>
        <v>83.021590017999998</v>
      </c>
      <c r="D64">
        <f t="shared" si="19"/>
        <v>44</v>
      </c>
      <c r="E64" s="4" t="str">
        <f t="shared" si="9"/>
        <v>q</v>
      </c>
      <c r="F64">
        <f t="shared" si="10"/>
        <v>2</v>
      </c>
      <c r="G64">
        <v>18</v>
      </c>
      <c r="H64" t="str">
        <f>Data!A78</f>
        <v>Rab_i</v>
      </c>
      <c r="I64" s="2" t="str">
        <f>Data!C78</f>
        <v>Dragons</v>
      </c>
      <c r="J64" s="2" t="str">
        <f>Data!D78</f>
        <v>Warriors</v>
      </c>
      <c r="K64" s="2" t="str">
        <f>Data!E78</f>
        <v>Rabbitohs</v>
      </c>
      <c r="L64" s="2" t="str">
        <f>IF(Data!$S$3&lt;Engine!L$1,0,Data!F78)</f>
        <v>Storm</v>
      </c>
      <c r="M64" s="2" t="str">
        <f>IF(Data!$S$3&lt;Engine!M$1,0,Data!G78)</f>
        <v>Knights</v>
      </c>
      <c r="N64" s="2" t="str">
        <f>IF(Data!$S$3&lt;Engine!N$1,0,Data!H78)</f>
        <v>Raiders</v>
      </c>
      <c r="O64" s="2" t="str">
        <f>IF(Data!$S$3&lt;Engine!O$1,0,Data!I78)</f>
        <v>Titans</v>
      </c>
      <c r="P64" s="2" t="str">
        <f>IF(Data!$S$3&lt;Engine!P$1,0,Data!J78)</f>
        <v>Sharks</v>
      </c>
      <c r="Q64" s="17" t="str">
        <f>IF(Data!B78=1,Data!K78,"No Tips")</f>
        <v>Storm</v>
      </c>
      <c r="R64" s="2">
        <f>Data!L78</f>
        <v>83</v>
      </c>
      <c r="S64" s="2">
        <f>Data!M78</f>
        <v>2159</v>
      </c>
      <c r="T64" s="15">
        <f>IF(I64="","",COUNTIF('Live Ladder'!P:P,I64)+COUNTIF('Live Ladder'!P:P,J64)+COUNTIF('Live Ladder'!P:P,K64)+COUNTIF('Live Ladder'!P:P,L64)+COUNTIF('Live Ladder'!P:P,M64)+COUNTIF('Live Ladder'!P:P,N64)+COUNTIF('Live Ladder'!P:P,O64)+COUNTIF('Live Ladder'!P:P,P64))</f>
        <v>0</v>
      </c>
      <c r="U64" s="15">
        <f>IF(I64="","",IF(COUNTIF('Live Ladder'!P:P,Engine!Q64)=1,2,IF(COUNTIF('Live Ladder'!Q:Q,Engine!Q64)=1,-2,0)))</f>
        <v>0</v>
      </c>
      <c r="V64" s="15">
        <f>IF(I64="","",IF(T64=Data!S$3,2,0))</f>
        <v>0</v>
      </c>
      <c r="W64" s="15">
        <f t="shared" si="11"/>
        <v>0</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Y64">
        <f t="shared" si="17"/>
        <v>83</v>
      </c>
      <c r="Z64">
        <f t="shared" si="12"/>
        <v>2175</v>
      </c>
      <c r="AA64" s="162">
        <f t="shared" si="13"/>
        <v>83.021750017999992</v>
      </c>
      <c r="AB64">
        <f t="shared" si="16"/>
        <v>0</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AF64">
        <f>IF(I64="","",IF(Q64="",0,IF(AND(Q64&gt;0,COUNTIF('Stats Calculator'!$T$24:$AA$24,Q64)=1),HLOOKUP(Q64,'Stats Calculator'!$T$24:$AA$27,4,FALSE),IF(AND(Q64&gt;0,COUNTIF('Stats Calculator'!$T$25:$AA$25,Q64)=1),HLOOKUP(Q64,'Stats Calculator'!$T$25:$AA$27,3,FALSE)))))</f>
        <v>4</v>
      </c>
      <c r="AG64">
        <f>IF(I64="","",COUNTIF(I64,'Stats Calculator'!E$31)+COUNTIF(J64,'Stats Calculator'!E$32)+COUNTIF(K64,'Stats Calculator'!E$33)+COUNTIF(L64,'Stats Calculator'!E$34)+COUNTIF(M64,'Stats Calculator'!E$35)+COUNTIF(N64,'Stats Calculator'!E$36)+COUNTIF(O64,'Stats Calculator'!E$37)+COUNTIF(P64,'Stats Calculator'!E$38)-8+Data!S$3)</f>
        <v>0</v>
      </c>
      <c r="AH64">
        <f>IF(I64="","",IF(Q64="",0,IF(Q64=0,0,IF(VLOOKUP(Engine!AF64,'Stats Calculator'!B$31:E$38,4,FALSE)="",0,IF(VLOOKUP(Engine!AF64,'Stats Calculator'!B$31:E$38,4,FALSE)=Q64,2,-2)))))</f>
        <v>0</v>
      </c>
      <c r="AI64">
        <f>IF(I64="","",Data!S$3-COUNTA('Stats Calculator'!E$31:E$38))</f>
        <v>7</v>
      </c>
      <c r="AJ64">
        <f>IF(I64="","",IF(AF64=0,0,IF(VLOOKUP(AF64,'Stats Calculator'!B$31:E$38,4,FALSE)&gt;0,0,2)))</f>
        <v>2</v>
      </c>
      <c r="AK64">
        <f>IF(I64="","",IF(Data!S$3-Engine!AI64=AG64,2,0))</f>
        <v>0</v>
      </c>
      <c r="AL64">
        <f t="shared" si="14"/>
        <v>9</v>
      </c>
    </row>
    <row r="65" spans="1:38" s="16" customFormat="1" x14ac:dyDescent="0.3">
      <c r="A65">
        <v>64</v>
      </c>
      <c r="B65">
        <f t="shared" si="18"/>
        <v>80</v>
      </c>
      <c r="C65" s="162">
        <f t="shared" si="8"/>
        <v>32.016460019</v>
      </c>
      <c r="D65">
        <f t="shared" si="19"/>
        <v>80</v>
      </c>
      <c r="E65" s="4" t="str">
        <f t="shared" si="9"/>
        <v>u</v>
      </c>
      <c r="F65" t="str">
        <f t="shared" si="10"/>
        <v/>
      </c>
      <c r="G65">
        <v>19</v>
      </c>
      <c r="H65" t="str">
        <f>Data!A77</f>
        <v>ravikarthig</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f>Data!L77</f>
        <v>32</v>
      </c>
      <c r="S65" s="2">
        <f>Data!M77</f>
        <v>1646</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0</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Y65">
        <f t="shared" si="17"/>
        <v>32</v>
      </c>
      <c r="Z65">
        <f t="shared" si="12"/>
        <v>1662</v>
      </c>
      <c r="AA65" s="162">
        <f t="shared" si="13"/>
        <v>32.016620019000001</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2</v>
      </c>
      <c r="C66" s="162">
        <f t="shared" si="8"/>
        <v>92.023690041000009</v>
      </c>
      <c r="D66">
        <f t="shared" ref="D66:D94" si="21">IF(H66="ZZZZZZ Suspend","",RANK(AA66,AA:AA))</f>
        <v>2</v>
      </c>
      <c r="E66" s="4" t="str">
        <f t="shared" si="9"/>
        <v>u</v>
      </c>
      <c r="F66" t="str">
        <f t="shared" si="10"/>
        <v/>
      </c>
      <c r="G66">
        <v>41</v>
      </c>
      <c r="H66" t="str">
        <f>Data!A55</f>
        <v>Robbie’s Back</v>
      </c>
      <c r="I66" s="2" t="str">
        <f>Data!C55</f>
        <v>Roosters</v>
      </c>
      <c r="J66" s="2" t="str">
        <f>Data!D55</f>
        <v>Sea Eagles</v>
      </c>
      <c r="K66" s="2" t="str">
        <f>Data!E55</f>
        <v>Rabbitohs</v>
      </c>
      <c r="L66" s="2" t="str">
        <f>IF(Data!$S$3&lt;Engine!L$1,0,Data!F55)</f>
        <v>Storm</v>
      </c>
      <c r="M66" s="2" t="str">
        <f>IF(Data!$S$3&lt;Engine!M$1,0,Data!G55)</f>
        <v>Knights</v>
      </c>
      <c r="N66" s="2" t="str">
        <f>IF(Data!$S$3&lt;Engine!N$1,0,Data!H55)</f>
        <v>Panthers</v>
      </c>
      <c r="O66" s="2" t="str">
        <f>IF(Data!$S$3&lt;Engine!O$1,0,Data!I55)</f>
        <v>Titans</v>
      </c>
      <c r="P66" s="2" t="str">
        <f>IF(Data!$S$3&lt;Engine!P$1,0,Data!J55)</f>
        <v>Eels</v>
      </c>
      <c r="Q66" s="17" t="str">
        <f>IF(Data!B55=1,Data!K55,"No Tips")</f>
        <v>Storm</v>
      </c>
      <c r="R66" s="2">
        <f>Data!L55</f>
        <v>92</v>
      </c>
      <c r="S66" s="2">
        <f>Data!M55</f>
        <v>2369</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24</v>
      </c>
      <c r="Y66">
        <f t="shared" si="17"/>
        <v>93</v>
      </c>
      <c r="Z66">
        <f t="shared" si="12"/>
        <v>2393</v>
      </c>
      <c r="AA66" s="162">
        <f t="shared" si="13"/>
        <v>93.023930041</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24</v>
      </c>
      <c r="AF66">
        <f>IF(I66="","",IF(Q66="",0,IF(AND(Q66&gt;0,COUNTIF('Stats Calculator'!$T$24:$AA$24,Q66)=1),HLOOKUP(Q66,'Stats Calculator'!$T$24:$AA$27,4,FALSE),IF(AND(Q66&gt;0,COUNTIF('Stats Calculator'!$T$25:$AA$25,Q66)=1),HLOOKUP(Q66,'Stats Calculator'!$T$25:$AA$27,3,FALSE)))))</f>
        <v>4</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58</v>
      </c>
      <c r="C67" s="162">
        <f t="shared" ref="C67:C95" si="22">IF(H67="ZZZZZZ Suspend","",R67+(S67/100000)+(G67/1000000000))</f>
        <v>73.021830039999998</v>
      </c>
      <c r="D67">
        <f t="shared" si="21"/>
        <v>58</v>
      </c>
      <c r="E67" s="4" t="str">
        <f t="shared" ref="E67:E85" si="23">IF(H67="ZZZZZZ Suspend","",IF(D67&lt;B67,AD$3,IF(D67&gt;B67,AD$4,AD$5)))</f>
        <v>u</v>
      </c>
      <c r="F67" t="str">
        <f t="shared" ref="F67:F85" si="24">IF(H67="ZZZZZZ Suspend","",IF(D67&gt;B67,D67-B67,IF(D67&lt;B67,B67-D67,"")))</f>
        <v/>
      </c>
      <c r="G67">
        <v>40</v>
      </c>
      <c r="H67" t="str">
        <f>Data!A56</f>
        <v>Robert Cook</v>
      </c>
      <c r="I67" s="2" t="str">
        <f>Data!C56</f>
        <v>Roosters</v>
      </c>
      <c r="J67" s="2" t="str">
        <f>Data!D56</f>
        <v>Sea Eagles</v>
      </c>
      <c r="K67" s="2" t="str">
        <f>Data!E56</f>
        <v>Rabbitohs</v>
      </c>
      <c r="L67" s="2" t="str">
        <f>IF(Data!$S$3&lt;Engine!L$1,0,Data!F56)</f>
        <v>Storm</v>
      </c>
      <c r="M67" s="2" t="str">
        <f>IF(Data!$S$3&lt;Engine!M$1,0,Data!G56)</f>
        <v>Knights</v>
      </c>
      <c r="N67" s="2" t="str">
        <f>IF(Data!$S$3&lt;Engine!N$1,0,Data!H56)</f>
        <v>Panthers</v>
      </c>
      <c r="O67" s="2" t="str">
        <f>IF(Data!$S$3&lt;Engine!O$1,0,Data!I56)</f>
        <v>Titans</v>
      </c>
      <c r="P67" s="2" t="str">
        <f>IF(Data!$S$3&lt;Engine!P$1,0,Data!J56)</f>
        <v>Eels</v>
      </c>
      <c r="Q67" s="17" t="str">
        <f>IF(Data!B56=1,Data!K56,"No Tips")</f>
        <v>Storm</v>
      </c>
      <c r="R67" s="2">
        <f>Data!L56</f>
        <v>73</v>
      </c>
      <c r="S67" s="2">
        <f>Data!M56</f>
        <v>2183</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0</v>
      </c>
      <c r="V67" s="15">
        <f>IF(I67="","",IF(T67=Data!S$3,2,0))</f>
        <v>0</v>
      </c>
      <c r="W67" s="15">
        <f t="shared" ref="W67:W85" si="25">IF(I67="",AD$2,SUM(T67:V67))</f>
        <v>1</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24</v>
      </c>
      <c r="Y67">
        <f t="shared" si="17"/>
        <v>74</v>
      </c>
      <c r="Z67">
        <f t="shared" ref="Z67:Z85" si="26">IF(H67="ZZZZZZ Suspend","",S67+X67)</f>
        <v>2207</v>
      </c>
      <c r="AA67" s="162">
        <f t="shared" ref="AA67:AA95" si="27">IF(H67="ZZZZZZ Suspend","",Y67+(Z67/100000)+(G67/1000000000))</f>
        <v>74.022070040000003</v>
      </c>
      <c r="AB67">
        <f t="shared" ref="AB67:AB85" si="28">SUM(T67:V67)</f>
        <v>1</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24</v>
      </c>
      <c r="AF67">
        <f>IF(I67="","",IF(Q67="",0,IF(AND(Q67&gt;0,COUNTIF('Stats Calculator'!$T$24:$AA$24,Q67)=1),HLOOKUP(Q67,'Stats Calculator'!$T$24:$AA$27,4,FALSE),IF(AND(Q67&gt;0,COUNTIF('Stats Calculator'!$T$25:$AA$25,Q67)=1),HLOOKUP(Q67,'Stats Calculator'!$T$25:$AA$27,3,FALSE)))))</f>
        <v>4</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2</v>
      </c>
      <c r="AL67">
        <f t="shared" ref="AL67:AL85" si="29">IF(I67="","",SUM(AG67:AK67))</f>
        <v>12</v>
      </c>
    </row>
    <row r="68" spans="1:38" x14ac:dyDescent="0.3">
      <c r="A68">
        <v>67</v>
      </c>
      <c r="B68">
        <f t="shared" si="20"/>
        <v>38</v>
      </c>
      <c r="C68" s="162">
        <f t="shared" si="22"/>
        <v>83.022930039000002</v>
      </c>
      <c r="D68">
        <f t="shared" si="21"/>
        <v>37</v>
      </c>
      <c r="E68" s="4" t="str">
        <f t="shared" si="23"/>
        <v>p</v>
      </c>
      <c r="F68">
        <f t="shared" si="24"/>
        <v>1</v>
      </c>
      <c r="G68">
        <v>39</v>
      </c>
      <c r="H68" t="str">
        <f>Data!A57</f>
        <v>Rossco the Pom</v>
      </c>
      <c r="I68" s="2" t="str">
        <f>Data!C57</f>
        <v>Roosters</v>
      </c>
      <c r="J68" s="2" t="str">
        <f>Data!D57</f>
        <v>Sea Eagles</v>
      </c>
      <c r="K68" s="2" t="str">
        <f>Data!E57</f>
        <v>Rabbitohs</v>
      </c>
      <c r="L68" s="2" t="str">
        <f>IF(Data!$S$3&lt;Engine!L$1,0,Data!F57)</f>
        <v>Storm</v>
      </c>
      <c r="M68" s="2" t="str">
        <f>IF(Data!$S$3&lt;Engine!M$1,0,Data!G57)</f>
        <v>Knights</v>
      </c>
      <c r="N68" s="2" t="str">
        <f>IF(Data!$S$3&lt;Engine!N$1,0,Data!H57)</f>
        <v>Panthers</v>
      </c>
      <c r="O68" s="2" t="str">
        <f>IF(Data!$S$3&lt;Engine!O$1,0,Data!I57)</f>
        <v>Titans</v>
      </c>
      <c r="P68" s="2" t="str">
        <f>IF(Data!$S$3&lt;Engine!P$1,0,Data!J57)</f>
        <v>Eels</v>
      </c>
      <c r="Q68" s="17" t="str">
        <f>IF(Data!B57=1,Data!K57,"No Tips")</f>
        <v>Storm</v>
      </c>
      <c r="R68" s="2">
        <f>Data!L57</f>
        <v>83</v>
      </c>
      <c r="S68" s="2">
        <f>Data!M57</f>
        <v>2293</v>
      </c>
      <c r="T68" s="15">
        <f>IF(I68="","",COUNTIF('Live Ladder'!P:P,I68)+COUNTIF('Live Ladder'!P:P,J68)+COUNTIF('Live Ladder'!P:P,K68)+COUNTIF('Live Ladder'!P:P,L68)+COUNTIF('Live Ladder'!P:P,M68)+COUNTIF('Live Ladder'!P:P,N68)+COUNTIF('Live Ladder'!P:P,O68)+COUNTIF('Live Ladder'!P:P,P68))</f>
        <v>1</v>
      </c>
      <c r="U68" s="15">
        <f>IF(I68="","",IF(COUNTIF('Live Ladder'!P:P,Engine!Q68)=1,2,IF(COUNTIF('Live Ladder'!Q:Q,Engine!Q68)=1,-2,0)))</f>
        <v>0</v>
      </c>
      <c r="V68" s="15">
        <f>IF(I68="","",IF(T68=Data!S$3,2,0))</f>
        <v>0</v>
      </c>
      <c r="W68" s="15">
        <f t="shared" si="25"/>
        <v>1</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24</v>
      </c>
      <c r="Y68">
        <f t="shared" si="17"/>
        <v>84</v>
      </c>
      <c r="Z68">
        <f t="shared" si="26"/>
        <v>2317</v>
      </c>
      <c r="AA68" s="162">
        <f t="shared" si="27"/>
        <v>84.023170038999993</v>
      </c>
      <c r="AB68">
        <f t="shared" si="28"/>
        <v>1</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24</v>
      </c>
      <c r="AF68">
        <f>IF(I68="","",IF(Q68="",0,IF(AND(Q68&gt;0,COUNTIF('Stats Calculator'!$T$24:$AA$24,Q68)=1),HLOOKUP(Q68,'Stats Calculator'!$T$24:$AA$27,4,FALSE),IF(AND(Q68&gt;0,COUNTIF('Stats Calculator'!$T$25:$AA$25,Q68)=1),HLOOKUP(Q68,'Stats Calculator'!$T$25:$AA$27,3,FALSE)))))</f>
        <v>4</v>
      </c>
      <c r="AG68">
        <f>IF(I68="","",COUNTIF(I68,'Stats Calculator'!E$31)+COUNTIF(J68,'Stats Calculator'!E$32)+COUNTIF(K68,'Stats Calculator'!E$33)+COUNTIF(L68,'Stats Calculator'!E$34)+COUNTIF(M68,'Stats Calculator'!E$35)+COUNTIF(N68,'Stats Calculator'!E$36)+COUNTIF(O68,'Stats Calculator'!E$37)+COUNTIF(P68,'Stats Calculator'!E$38)-8+Data!S$3)</f>
        <v>1</v>
      </c>
      <c r="AH68">
        <f>IF(I68="","",IF(Q68="",0,IF(Q68=0,0,IF(VLOOKUP(Engine!AF68,'Stats Calculator'!B$31:E$38,4,FALSE)="",0,IF(VLOOKUP(Engine!AF68,'Stats Calculator'!B$31:E$38,4,FALSE)=Q68,2,-2)))))</f>
        <v>0</v>
      </c>
      <c r="AI68">
        <f>IF(I68="","",Data!S$3-COUNTA('Stats Calculator'!E$31:E$38))</f>
        <v>7</v>
      </c>
      <c r="AJ68">
        <f>IF(I68="","",IF(AF68=0,0,IF(VLOOKUP(AF68,'Stats Calculator'!B$31:E$38,4,FALSE)&gt;0,0,2)))</f>
        <v>2</v>
      </c>
      <c r="AK68">
        <f>IF(I68="","",IF(Data!S$3-Engine!AI68=AG68,2,0))</f>
        <v>2</v>
      </c>
      <c r="AL68">
        <f t="shared" si="29"/>
        <v>12</v>
      </c>
    </row>
    <row r="69" spans="1:38" x14ac:dyDescent="0.3">
      <c r="A69">
        <v>68</v>
      </c>
      <c r="B69">
        <f t="shared" si="20"/>
        <v>13</v>
      </c>
      <c r="C69" s="162">
        <f t="shared" si="22"/>
        <v>89.023080022999991</v>
      </c>
      <c r="D69">
        <f t="shared" si="21"/>
        <v>13</v>
      </c>
      <c r="E69" s="4" t="str">
        <f t="shared" si="23"/>
        <v>u</v>
      </c>
      <c r="F69" t="str">
        <f t="shared" si="24"/>
        <v/>
      </c>
      <c r="G69">
        <v>23</v>
      </c>
      <c r="H69" t="str">
        <f>Data!A73</f>
        <v>Runner</v>
      </c>
      <c r="I69" s="2" t="str">
        <f>Data!C73</f>
        <v>Roosters</v>
      </c>
      <c r="J69" s="2" t="str">
        <f>Data!D73</f>
        <v>Sea Eagles</v>
      </c>
      <c r="K69" s="2" t="str">
        <f>Data!E73</f>
        <v>Rabbitohs</v>
      </c>
      <c r="L69" s="2" t="str">
        <f>IF(Data!$S$3&lt;Engine!L$1,0,Data!F73)</f>
        <v>Storm</v>
      </c>
      <c r="M69" s="2" t="str">
        <f>IF(Data!$S$3&lt;Engine!M$1,0,Data!G73)</f>
        <v>Knights</v>
      </c>
      <c r="N69" s="2" t="str">
        <f>IF(Data!$S$3&lt;Engine!N$1,0,Data!H73)</f>
        <v>Panthers</v>
      </c>
      <c r="O69" s="2" t="str">
        <f>IF(Data!$S$3&lt;Engine!O$1,0,Data!I73)</f>
        <v>Cowboys</v>
      </c>
      <c r="P69" s="2" t="str">
        <f>IF(Data!$S$3&lt;Engine!P$1,0,Data!J73)</f>
        <v>Eels</v>
      </c>
      <c r="Q69" s="17" t="str">
        <f>IF(Data!B73=1,Data!K73,"No Tips")</f>
        <v>Storm</v>
      </c>
      <c r="R69" s="2">
        <f>Data!L73</f>
        <v>89</v>
      </c>
      <c r="S69" s="2">
        <f>Data!M73</f>
        <v>2308</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0</v>
      </c>
      <c r="V69" s="15">
        <f>IF(I69="","",IF(T69=Data!S$3,2,0))</f>
        <v>0</v>
      </c>
      <c r="W69" s="15">
        <f t="shared" si="25"/>
        <v>1</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24</v>
      </c>
      <c r="Y69">
        <f t="shared" si="17"/>
        <v>90</v>
      </c>
      <c r="Z69">
        <f t="shared" si="26"/>
        <v>2332</v>
      </c>
      <c r="AA69" s="162">
        <f t="shared" si="27"/>
        <v>90.023320022999997</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24</v>
      </c>
      <c r="AF69">
        <f>IF(I69="","",IF(Q69="",0,IF(AND(Q69&gt;0,COUNTIF('Stats Calculator'!$T$24:$AA$24,Q69)=1),HLOOKUP(Q69,'Stats Calculator'!$T$24:$AA$27,4,FALSE),IF(AND(Q69&gt;0,COUNTIF('Stats Calculator'!$T$25:$AA$25,Q69)=1),HLOOKUP(Q69,'Stats Calculator'!$T$25:$AA$27,3,FALSE)))))</f>
        <v>4</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2</v>
      </c>
      <c r="AL69">
        <f t="shared" si="29"/>
        <v>12</v>
      </c>
    </row>
    <row r="70" spans="1:38" x14ac:dyDescent="0.3">
      <c r="A70">
        <v>69</v>
      </c>
      <c r="B70">
        <f t="shared" si="20"/>
        <v>67</v>
      </c>
      <c r="C70" s="162">
        <f t="shared" si="22"/>
        <v>68.021140037999999</v>
      </c>
      <c r="D70">
        <f t="shared" si="21"/>
        <v>67</v>
      </c>
      <c r="E70" s="4" t="str">
        <f t="shared" si="23"/>
        <v>u</v>
      </c>
      <c r="F70" t="str">
        <f t="shared" si="24"/>
        <v/>
      </c>
      <c r="G70">
        <v>38</v>
      </c>
      <c r="H70" t="str">
        <f>Data!A58</f>
        <v>SCULKIN</v>
      </c>
      <c r="I70" s="2" t="str">
        <f>Data!C58</f>
        <v>Dragons</v>
      </c>
      <c r="J70" s="2" t="str">
        <f>Data!D58</f>
        <v>Sea Eagles</v>
      </c>
      <c r="K70" s="2" t="str">
        <f>Data!E58</f>
        <v>Rabbitohs</v>
      </c>
      <c r="L70" s="2" t="str">
        <f>IF(Data!$S$3&lt;Engine!L$1,0,Data!F58)</f>
        <v>Storm</v>
      </c>
      <c r="M70" s="2" t="str">
        <f>IF(Data!$S$3&lt;Engine!M$1,0,Data!G58)</f>
        <v>Knights</v>
      </c>
      <c r="N70" s="2" t="str">
        <f>IF(Data!$S$3&lt;Engine!N$1,0,Data!H58)</f>
        <v>Panthers</v>
      </c>
      <c r="O70" s="2" t="str">
        <f>IF(Data!$S$3&lt;Engine!O$1,0,Data!I58)</f>
        <v>Cowboys</v>
      </c>
      <c r="P70" s="2" t="str">
        <f>IF(Data!$S$3&lt;Engine!P$1,0,Data!J58)</f>
        <v>Eels</v>
      </c>
      <c r="Q70" s="17" t="str">
        <f>IF(Data!B58=1,Data!K58,"No Tips")</f>
        <v>Storm</v>
      </c>
      <c r="R70" s="2">
        <f>Data!L58</f>
        <v>68</v>
      </c>
      <c r="S70" s="2">
        <f>Data!M58</f>
        <v>2114</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16</v>
      </c>
      <c r="Y70">
        <f t="shared" si="17"/>
        <v>68</v>
      </c>
      <c r="Z70">
        <f t="shared" si="26"/>
        <v>2130</v>
      </c>
      <c r="AA70" s="162">
        <f t="shared" si="27"/>
        <v>68.021300037999993</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16</v>
      </c>
      <c r="AF70">
        <f>IF(I70="","",IF(Q70="",0,IF(AND(Q70&gt;0,COUNTIF('Stats Calculator'!$T$24:$AA$24,Q70)=1),HLOOKUP(Q70,'Stats Calculator'!$T$24:$AA$27,4,FALSE),IF(AND(Q70&gt;0,COUNTIF('Stats Calculator'!$T$25:$AA$25,Q70)=1),HLOOKUP(Q70,'Stats Calculator'!$T$25:$AA$27,3,FALSE)))))</f>
        <v>4</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0</v>
      </c>
      <c r="AL70">
        <f t="shared" si="29"/>
        <v>9</v>
      </c>
    </row>
    <row r="71" spans="1:38" x14ac:dyDescent="0.3">
      <c r="A71">
        <v>70</v>
      </c>
      <c r="B71">
        <f t="shared" si="20"/>
        <v>4</v>
      </c>
      <c r="C71" s="162">
        <f t="shared" si="22"/>
        <v>92.023240037000008</v>
      </c>
      <c r="D71">
        <f t="shared" si="21"/>
        <v>4</v>
      </c>
      <c r="E71" s="4" t="str">
        <f t="shared" si="23"/>
        <v>u</v>
      </c>
      <c r="F71" t="str">
        <f t="shared" si="24"/>
        <v/>
      </c>
      <c r="G71">
        <v>37</v>
      </c>
      <c r="H71" t="str">
        <f>Data!A59</f>
        <v>Seano</v>
      </c>
      <c r="I71" s="2" t="str">
        <f>Data!C59</f>
        <v>Roosters</v>
      </c>
      <c r="J71" s="2" t="str">
        <f>Data!D59</f>
        <v>Sea Eagles</v>
      </c>
      <c r="K71" s="2" t="str">
        <f>Data!E59</f>
        <v>Rabbitohs</v>
      </c>
      <c r="L71" s="2" t="str">
        <f>IF(Data!$S$3&lt;Engine!L$1,0,Data!F59)</f>
        <v>Storm</v>
      </c>
      <c r="M71" s="2" t="str">
        <f>IF(Data!$S$3&lt;Engine!M$1,0,Data!G59)</f>
        <v>Knights</v>
      </c>
      <c r="N71" s="2" t="str">
        <f>IF(Data!$S$3&lt;Engine!N$1,0,Data!H59)</f>
        <v>Panthers</v>
      </c>
      <c r="O71" s="2" t="str">
        <f>IF(Data!$S$3&lt;Engine!O$1,0,Data!I59)</f>
        <v>Titans</v>
      </c>
      <c r="P71" s="2" t="str">
        <f>IF(Data!$S$3&lt;Engine!P$1,0,Data!J59)</f>
        <v>Eels</v>
      </c>
      <c r="Q71" s="17" t="str">
        <f>IF(Data!B59=1,Data!K59,"No Tips")</f>
        <v>Sea Eagles</v>
      </c>
      <c r="R71" s="2">
        <f>Data!L59</f>
        <v>92</v>
      </c>
      <c r="S71" s="2">
        <f>Data!M59</f>
        <v>2324</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0</v>
      </c>
      <c r="V71" s="15">
        <f>IF(I71="","",IF(T71=Data!S$3,2,0))</f>
        <v>0</v>
      </c>
      <c r="W71" s="15">
        <f t="shared" si="25"/>
        <v>1</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24</v>
      </c>
      <c r="Y71">
        <f t="shared" si="17"/>
        <v>93</v>
      </c>
      <c r="Z71">
        <f t="shared" si="26"/>
        <v>2348</v>
      </c>
      <c r="AA71" s="162">
        <f t="shared" si="27"/>
        <v>93.023480037000013</v>
      </c>
      <c r="AB71">
        <f t="shared" si="28"/>
        <v>1</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24</v>
      </c>
      <c r="AF71">
        <f>IF(I71="","",IF(Q71="",0,IF(AND(Q71&gt;0,COUNTIF('Stats Calculator'!$T$24:$AA$24,Q71)=1),HLOOKUP(Q71,'Stats Calculator'!$T$24:$AA$27,4,FALSE),IF(AND(Q71&gt;0,COUNTIF('Stats Calculator'!$T$25:$AA$25,Q71)=1),HLOOKUP(Q71,'Stats Calculator'!$T$25:$AA$27,3,FALSE)))))</f>
        <v>2</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2</v>
      </c>
      <c r="AL71">
        <f t="shared" si="29"/>
        <v>12</v>
      </c>
    </row>
    <row r="72" spans="1:38" x14ac:dyDescent="0.3">
      <c r="A72">
        <v>71</v>
      </c>
      <c r="B72">
        <f t="shared" si="20"/>
        <v>39</v>
      </c>
      <c r="C72" s="162">
        <f t="shared" si="22"/>
        <v>83.022370035999998</v>
      </c>
      <c r="D72">
        <f t="shared" si="21"/>
        <v>39</v>
      </c>
      <c r="E72" s="4" t="str">
        <f t="shared" si="23"/>
        <v>u</v>
      </c>
      <c r="F72" t="str">
        <f t="shared" si="24"/>
        <v/>
      </c>
      <c r="G72">
        <v>36</v>
      </c>
      <c r="H72" t="str">
        <f>Data!A60</f>
        <v>Shagger</v>
      </c>
      <c r="I72" s="2" t="str">
        <f>Data!C60</f>
        <v>Roosters</v>
      </c>
      <c r="J72" s="2" t="str">
        <f>Data!D60</f>
        <v>Sea Eagles</v>
      </c>
      <c r="K72" s="2" t="str">
        <f>Data!E60</f>
        <v>Rabbitohs</v>
      </c>
      <c r="L72" s="2" t="str">
        <f>IF(Data!$S$3&lt;Engine!L$1,0,Data!F60)</f>
        <v>Storm</v>
      </c>
      <c r="M72" s="2" t="str">
        <f>IF(Data!$S$3&lt;Engine!M$1,0,Data!G60)</f>
        <v>Knights</v>
      </c>
      <c r="N72" s="2" t="str">
        <f>IF(Data!$S$3&lt;Engine!N$1,0,Data!H60)</f>
        <v>Panthers</v>
      </c>
      <c r="O72" s="2" t="str">
        <f>IF(Data!$S$3&lt;Engine!O$1,0,Data!I60)</f>
        <v>Cowboys</v>
      </c>
      <c r="P72" s="2" t="str">
        <f>IF(Data!$S$3&lt;Engine!P$1,0,Data!J60)</f>
        <v>Eels</v>
      </c>
      <c r="Q72" s="17" t="str">
        <f>IF(Data!B60=1,Data!K60,"No Tips")</f>
        <v>Storm</v>
      </c>
      <c r="R72" s="2">
        <f>Data!L60</f>
        <v>83</v>
      </c>
      <c r="S72" s="2">
        <f>Data!M60</f>
        <v>2237</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0</v>
      </c>
      <c r="V72" s="15">
        <f>IF(I72="","",IF(T72=Data!S$3,2,0))</f>
        <v>0</v>
      </c>
      <c r="W72" s="15">
        <f t="shared" si="25"/>
        <v>1</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24</v>
      </c>
      <c r="Y72">
        <f t="shared" si="17"/>
        <v>84</v>
      </c>
      <c r="Z72">
        <f t="shared" si="26"/>
        <v>2261</v>
      </c>
      <c r="AA72" s="162">
        <f t="shared" si="27"/>
        <v>84.022610036000003</v>
      </c>
      <c r="AB72">
        <f t="shared" si="28"/>
        <v>1</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24</v>
      </c>
      <c r="AF72">
        <f>IF(I72="","",IF(Q72="",0,IF(AND(Q72&gt;0,COUNTIF('Stats Calculator'!$T$24:$AA$24,Q72)=1),HLOOKUP(Q72,'Stats Calculator'!$T$24:$AA$27,4,FALSE),IF(AND(Q72&gt;0,COUNTIF('Stats Calculator'!$T$25:$AA$25,Q72)=1),HLOOKUP(Q72,'Stats Calculator'!$T$25:$AA$27,3,FALSE)))))</f>
        <v>4</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0</v>
      </c>
      <c r="AI72">
        <f>IF(I72="","",Data!S$3-COUNTA('Stats Calculator'!E$31:E$38))</f>
        <v>7</v>
      </c>
      <c r="AJ72">
        <f>IF(I72="","",IF(AF72=0,0,IF(VLOOKUP(AF72,'Stats Calculator'!B$31:E$38,4,FALSE)&gt;0,0,2)))</f>
        <v>2</v>
      </c>
      <c r="AK72">
        <f>IF(I72="","",IF(Data!S$3-Engine!AI72=AG72,2,0))</f>
        <v>2</v>
      </c>
      <c r="AL72">
        <f t="shared" si="29"/>
        <v>12</v>
      </c>
    </row>
    <row r="73" spans="1:38" x14ac:dyDescent="0.3">
      <c r="A73">
        <v>72</v>
      </c>
      <c r="B73">
        <f t="shared" si="20"/>
        <v>62</v>
      </c>
      <c r="C73" s="162">
        <f t="shared" si="22"/>
        <v>70.023050024</v>
      </c>
      <c r="D73">
        <f t="shared" si="21"/>
        <v>62</v>
      </c>
      <c r="E73" s="4" t="str">
        <f t="shared" si="23"/>
        <v>u</v>
      </c>
      <c r="F73" t="str">
        <f t="shared" si="24"/>
        <v/>
      </c>
      <c r="G73">
        <v>24</v>
      </c>
      <c r="H73" t="str">
        <f>Data!A72</f>
        <v>sharkies.fan</v>
      </c>
      <c r="I73" s="2" t="str">
        <f>Data!C72</f>
        <v>Roosters</v>
      </c>
      <c r="J73" s="2" t="str">
        <f>Data!D72</f>
        <v>Sea Eagles</v>
      </c>
      <c r="K73" s="2" t="str">
        <f>Data!E72</f>
        <v>Rabbitohs</v>
      </c>
      <c r="L73" s="2" t="str">
        <f>IF(Data!$S$3&lt;Engine!L$1,0,Data!F72)</f>
        <v>Storm</v>
      </c>
      <c r="M73" s="2" t="str">
        <f>IF(Data!$S$3&lt;Engine!M$1,0,Data!G72)</f>
        <v>Knights</v>
      </c>
      <c r="N73" s="2" t="str">
        <f>IF(Data!$S$3&lt;Engine!N$1,0,Data!H72)</f>
        <v>Panthers</v>
      </c>
      <c r="O73" s="2" t="str">
        <f>IF(Data!$S$3&lt;Engine!O$1,0,Data!I72)</f>
        <v>Cowboys</v>
      </c>
      <c r="P73" s="2" t="str">
        <f>IF(Data!$S$3&lt;Engine!P$1,0,Data!J72)</f>
        <v>Sharks</v>
      </c>
      <c r="Q73" s="17" t="str">
        <f>IF(Data!B72=1,Data!K72,"No Tips")</f>
        <v/>
      </c>
      <c r="R73" s="2">
        <f>Data!L72</f>
        <v>70</v>
      </c>
      <c r="S73" s="2">
        <f>Data!M72</f>
        <v>2305</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24</v>
      </c>
      <c r="Y73">
        <f t="shared" si="17"/>
        <v>71</v>
      </c>
      <c r="Z73">
        <f t="shared" si="26"/>
        <v>2329</v>
      </c>
      <c r="AA73" s="162">
        <f t="shared" si="27"/>
        <v>71.023290024000005</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24</v>
      </c>
      <c r="AF73">
        <f>IF(I73="","",IF(Q73="",0,IF(AND(Q73&gt;0,COUNTIF('Stats Calculator'!$T$24:$AA$24,Q73)=1),HLOOKUP(Q73,'Stats Calculator'!$T$24:$AA$27,4,FALSE),IF(AND(Q73&gt;0,COUNTIF('Stats Calculator'!$T$25:$AA$25,Q73)=1),HLOOKUP(Q73,'Stats Calculator'!$T$25:$AA$27,3,FALSE)))))</f>
        <v>0</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0</v>
      </c>
      <c r="AI73">
        <f>IF(I73="","",Data!S$3-COUNTA('Stats Calculator'!E$31:E$38))</f>
        <v>7</v>
      </c>
      <c r="AJ73">
        <f>IF(I73="","",IF(AF73=0,0,IF(VLOOKUP(AF73,'Stats Calculator'!B$31:E$38,4,FALSE)&gt;0,0,2)))</f>
        <v>0</v>
      </c>
      <c r="AK73">
        <f>IF(I73="","",IF(Data!S$3-Engine!AI73=AG73,2,0))</f>
        <v>2</v>
      </c>
      <c r="AL73">
        <f t="shared" si="29"/>
        <v>10</v>
      </c>
    </row>
    <row r="74" spans="1:38" s="16" customFormat="1" x14ac:dyDescent="0.3">
      <c r="A74" s="16">
        <v>73</v>
      </c>
      <c r="B74" s="16">
        <f t="shared" si="20"/>
        <v>31</v>
      </c>
      <c r="C74" s="162">
        <f t="shared" si="22"/>
        <v>85.022930035000002</v>
      </c>
      <c r="D74" s="16">
        <f t="shared" si="21"/>
        <v>35</v>
      </c>
      <c r="E74" s="157" t="str">
        <f t="shared" si="23"/>
        <v>q</v>
      </c>
      <c r="F74" s="16">
        <f t="shared" si="24"/>
        <v>4</v>
      </c>
      <c r="G74">
        <v>35</v>
      </c>
      <c r="H74" t="str">
        <f>Data!A61</f>
        <v>SMOG</v>
      </c>
      <c r="I74" s="2" t="str">
        <f>Data!C61</f>
        <v>Dragons</v>
      </c>
      <c r="J74" s="2" t="str">
        <f>Data!D61</f>
        <v>Sea Eagles</v>
      </c>
      <c r="K74" s="2" t="str">
        <f>Data!E61</f>
        <v>Rabbitohs</v>
      </c>
      <c r="L74" s="2" t="str">
        <f>IF(Data!$S$3&lt;Engine!L$1,0,Data!F61)</f>
        <v>Storm</v>
      </c>
      <c r="M74" s="2" t="str">
        <f>IF(Data!$S$3&lt;Engine!M$1,0,Data!G61)</f>
        <v>Knights</v>
      </c>
      <c r="N74" s="2" t="str">
        <f>IF(Data!$S$3&lt;Engine!N$1,0,Data!H61)</f>
        <v>Panthers</v>
      </c>
      <c r="O74" s="2" t="str">
        <f>IF(Data!$S$3&lt;Engine!O$1,0,Data!I61)</f>
        <v>Cowboys</v>
      </c>
      <c r="P74" s="2" t="str">
        <f>IF(Data!$S$3&lt;Engine!P$1,0,Data!J61)</f>
        <v>Eels</v>
      </c>
      <c r="Q74" s="17" t="str">
        <f>IF(Data!B61=1,Data!K61,"No Tips")</f>
        <v>Storm</v>
      </c>
      <c r="R74" s="2">
        <f>Data!L61</f>
        <v>85</v>
      </c>
      <c r="S74" s="2">
        <f>Data!M61</f>
        <v>2293</v>
      </c>
      <c r="T74" s="15">
        <f>IF(I74="","",COUNTIF('Live Ladder'!P:P,I74)+COUNTIF('Live Ladder'!P:P,J74)+COUNTIF('Live Ladder'!P:P,K74)+COUNTIF('Live Ladder'!P:P,L74)+COUNTIF('Live Ladder'!P:P,M74)+COUNTIF('Live Ladder'!P:P,N74)+COUNTIF('Live Ladder'!P:P,O74)+COUNTIF('Live Ladder'!P:P,P74))</f>
        <v>0</v>
      </c>
      <c r="U74" s="15">
        <f>IF(I74="","",IF(COUNTIF('Live Ladder'!P:P,Engine!Q74)=1,2,IF(COUNTIF('Live Ladder'!Q:Q,Engine!Q74)=1,-2,0)))</f>
        <v>0</v>
      </c>
      <c r="V74" s="15">
        <f>IF(I74="","",IF(T74=Data!S$3,2,0))</f>
        <v>0</v>
      </c>
      <c r="W74" s="15">
        <f t="shared" si="25"/>
        <v>0</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16</v>
      </c>
      <c r="Y74">
        <f t="shared" si="17"/>
        <v>85</v>
      </c>
      <c r="Z74" s="16">
        <f t="shared" si="26"/>
        <v>2309</v>
      </c>
      <c r="AA74" s="162">
        <f t="shared" si="27"/>
        <v>85.023090034999996</v>
      </c>
      <c r="AB74">
        <f t="shared" si="28"/>
        <v>0</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16</v>
      </c>
      <c r="AF74" s="16">
        <f>IF(I74="","",IF(Q74="",0,IF(AND(Q74&gt;0,COUNTIF('Stats Calculator'!$T$24:$AA$24,Q74)=1),HLOOKUP(Q74,'Stats Calculator'!$T$24:$AA$27,4,FALSE),IF(AND(Q74&gt;0,COUNTIF('Stats Calculator'!$T$25:$AA$25,Q74)=1),HLOOKUP(Q74,'Stats Calculator'!$T$25:$AA$27,3,FALSE)))))</f>
        <v>4</v>
      </c>
      <c r="AG74" s="16">
        <f>IF(I74="","",COUNTIF(I74,'Stats Calculator'!E$31)+COUNTIF(J74,'Stats Calculator'!E$32)+COUNTIF(K74,'Stats Calculator'!E$33)+COUNTIF(L74,'Stats Calculator'!E$34)+COUNTIF(M74,'Stats Calculator'!E$35)+COUNTIF(N74,'Stats Calculator'!E$36)+COUNTIF(O74,'Stats Calculator'!E$37)+COUNTIF(P74,'Stats Calculator'!E$38)-8+Data!S$3)</f>
        <v>0</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0</v>
      </c>
      <c r="AL74" s="16">
        <f t="shared" si="29"/>
        <v>9</v>
      </c>
    </row>
    <row r="75" spans="1:38" x14ac:dyDescent="0.3">
      <c r="A75">
        <v>74</v>
      </c>
      <c r="B75">
        <f t="shared" si="20"/>
        <v>72</v>
      </c>
      <c r="C75" s="162">
        <f t="shared" si="22"/>
        <v>59.019180012999996</v>
      </c>
      <c r="D75">
        <f t="shared" si="21"/>
        <v>72</v>
      </c>
      <c r="E75" s="4" t="str">
        <f t="shared" si="23"/>
        <v>u</v>
      </c>
      <c r="F75" t="str">
        <f t="shared" si="24"/>
        <v/>
      </c>
      <c r="G75">
        <v>13</v>
      </c>
      <c r="H75" t="str">
        <f>Data!A83</f>
        <v>Splinter</v>
      </c>
      <c r="I75" s="2" t="str">
        <f>Data!C83</f>
        <v>Roosters</v>
      </c>
      <c r="J75" s="2" t="str">
        <f>Data!D83</f>
        <v>Sea Eagles</v>
      </c>
      <c r="K75" s="2" t="str">
        <f>Data!E83</f>
        <v>Broncos</v>
      </c>
      <c r="L75" s="2" t="str">
        <f>IF(Data!$S$3&lt;Engine!L$1,0,Data!F83)</f>
        <v>Storm</v>
      </c>
      <c r="M75" s="2" t="str">
        <f>IF(Data!$S$3&lt;Engine!M$1,0,Data!G83)</f>
        <v>Knights</v>
      </c>
      <c r="N75" s="2" t="str">
        <f>IF(Data!$S$3&lt;Engine!N$1,0,Data!H83)</f>
        <v>Panthers</v>
      </c>
      <c r="O75" s="2" t="str">
        <f>IF(Data!$S$3&lt;Engine!O$1,0,Data!I83)</f>
        <v>Cowboys</v>
      </c>
      <c r="P75" s="2" t="str">
        <f>IF(Data!$S$3&lt;Engine!P$1,0,Data!J83)</f>
        <v>Eels</v>
      </c>
      <c r="Q75" s="17" t="str">
        <f>IF(Data!B83=1,Data!K83,"No Tips")</f>
        <v>Storm</v>
      </c>
      <c r="R75" s="2">
        <f>Data!L83</f>
        <v>59</v>
      </c>
      <c r="S75" s="2">
        <f>Data!M83</f>
        <v>1918</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24</v>
      </c>
      <c r="Y75">
        <f t="shared" si="17"/>
        <v>60</v>
      </c>
      <c r="Z75">
        <f t="shared" si="26"/>
        <v>1942</v>
      </c>
      <c r="AA75" s="162">
        <f t="shared" si="27"/>
        <v>60.019420012999994</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24</v>
      </c>
      <c r="AF75">
        <f>IF(I75="","",IF(Q75="",0,IF(AND(Q75&gt;0,COUNTIF('Stats Calculator'!$T$24:$AA$24,Q75)=1),HLOOKUP(Q75,'Stats Calculator'!$T$24:$AA$27,4,FALSE),IF(AND(Q75&gt;0,COUNTIF('Stats Calculator'!$T$25:$AA$25,Q75)=1),HLOOKUP(Q75,'Stats Calculator'!$T$25:$AA$27,3,FALSE)))))</f>
        <v>4</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f t="shared" si="20"/>
        <v>34</v>
      </c>
      <c r="C76" s="162">
        <f t="shared" si="22"/>
        <v>85.022380033999994</v>
      </c>
      <c r="D76">
        <f t="shared" si="21"/>
        <v>33</v>
      </c>
      <c r="E76" s="4" t="str">
        <f t="shared" si="23"/>
        <v>p</v>
      </c>
      <c r="F76">
        <f t="shared" si="24"/>
        <v>1</v>
      </c>
      <c r="G76">
        <v>34</v>
      </c>
      <c r="H76" t="str">
        <f>Data!A62</f>
        <v>Stallion</v>
      </c>
      <c r="I76" s="2" t="str">
        <f>Data!C62</f>
        <v>Roosters</v>
      </c>
      <c r="J76" s="2" t="str">
        <f>Data!D62</f>
        <v>Sea Eagles</v>
      </c>
      <c r="K76" s="2" t="str">
        <f>Data!E62</f>
        <v>Rabbitohs</v>
      </c>
      <c r="L76" s="2" t="str">
        <f>IF(Data!$S$3&lt;Engine!L$1,0,Data!F62)</f>
        <v>Storm</v>
      </c>
      <c r="M76" s="2" t="str">
        <f>IF(Data!$S$3&lt;Engine!M$1,0,Data!G62)</f>
        <v>Wests Tigers</v>
      </c>
      <c r="N76" s="2" t="str">
        <f>IF(Data!$S$3&lt;Engine!N$1,0,Data!H62)</f>
        <v>Panthers</v>
      </c>
      <c r="O76" s="2" t="str">
        <f>IF(Data!$S$3&lt;Engine!O$1,0,Data!I62)</f>
        <v>Cowboys</v>
      </c>
      <c r="P76" s="2" t="str">
        <f>IF(Data!$S$3&lt;Engine!P$1,0,Data!J62)</f>
        <v>Sharks</v>
      </c>
      <c r="Q76" s="17" t="str">
        <f>IF(Data!B62=1,Data!K62,"No Tips")</f>
        <v>Storm</v>
      </c>
      <c r="R76" s="2">
        <f>Data!L62</f>
        <v>85</v>
      </c>
      <c r="S76" s="2">
        <f>Data!M62</f>
        <v>2238</v>
      </c>
      <c r="T76" s="15">
        <f>IF(I76="","",COUNTIF('Live Ladder'!P:P,I76)+COUNTIF('Live Ladder'!P:P,J76)+COUNTIF('Live Ladder'!P:P,K76)+COUNTIF('Live Ladder'!P:P,L76)+COUNTIF('Live Ladder'!P:P,M76)+COUNTIF('Live Ladder'!P:P,N76)+COUNTIF('Live Ladder'!P:P,O76)+COUNTIF('Live Ladder'!P:P,P76))</f>
        <v>1</v>
      </c>
      <c r="U76" s="15">
        <f>IF(I76="","",IF(COUNTIF('Live Ladder'!P:P,Engine!Q76)=1,2,IF(COUNTIF('Live Ladder'!Q:Q,Engine!Q76)=1,-2,0)))</f>
        <v>0</v>
      </c>
      <c r="V76" s="15">
        <f>IF(I76="","",IF(T76=Data!S$3,2,0))</f>
        <v>0</v>
      </c>
      <c r="W76" s="15">
        <f t="shared" si="25"/>
        <v>1</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24</v>
      </c>
      <c r="Y76">
        <f t="shared" si="17"/>
        <v>86</v>
      </c>
      <c r="Z76">
        <f t="shared" si="26"/>
        <v>2262</v>
      </c>
      <c r="AA76" s="162">
        <f t="shared" si="27"/>
        <v>86.022620033999999</v>
      </c>
      <c r="AB76">
        <f t="shared" si="28"/>
        <v>1</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24</v>
      </c>
      <c r="AF76">
        <f>IF(I76="","",IF(Q76="",0,IF(AND(Q76&gt;0,COUNTIF('Stats Calculator'!$T$24:$AA$24,Q76)=1),HLOOKUP(Q76,'Stats Calculator'!$T$24:$AA$27,4,FALSE),IF(AND(Q76&gt;0,COUNTIF('Stats Calculator'!$T$25:$AA$25,Q76)=1),HLOOKUP(Q76,'Stats Calculator'!$T$25:$AA$27,3,FALSE)))))</f>
        <v>4</v>
      </c>
      <c r="AG76">
        <f>IF(I76="","",COUNTIF(I76,'Stats Calculator'!E$31)+COUNTIF(J76,'Stats Calculator'!E$32)+COUNTIF(K76,'Stats Calculator'!E$33)+COUNTIF(L76,'Stats Calculator'!E$34)+COUNTIF(M76,'Stats Calculator'!E$35)+COUNTIF(N76,'Stats Calculator'!E$36)+COUNTIF(O76,'Stats Calculator'!E$37)+COUNTIF(P76,'Stats Calculator'!E$38)-8+Data!S$3)</f>
        <v>1</v>
      </c>
      <c r="AH76">
        <f>IF(I76="","",IF(Q76="",0,IF(Q76=0,0,IF(VLOOKUP(Engine!AF76,'Stats Calculator'!B$31:E$38,4,FALSE)="",0,IF(VLOOKUP(Engine!AF76,'Stats Calculator'!B$31:E$38,4,FALSE)=Q76,2,-2)))))</f>
        <v>0</v>
      </c>
      <c r="AI76">
        <f>IF(I76="","",Data!S$3-COUNTA('Stats Calculator'!E$31:E$38))</f>
        <v>7</v>
      </c>
      <c r="AJ76">
        <f>IF(I76="","",IF(AF76=0,0,IF(VLOOKUP(AF76,'Stats Calculator'!B$31:E$38,4,FALSE)&gt;0,0,2)))</f>
        <v>2</v>
      </c>
      <c r="AK76">
        <f>IF(I76="","",IF(Data!S$3-Engine!AI76=AG76,2,0))</f>
        <v>2</v>
      </c>
      <c r="AL76">
        <f t="shared" si="29"/>
        <v>12</v>
      </c>
    </row>
    <row r="77" spans="1:38" x14ac:dyDescent="0.3">
      <c r="A77">
        <v>76</v>
      </c>
      <c r="B77">
        <f t="shared" si="20"/>
        <v>43</v>
      </c>
      <c r="C77" s="162">
        <f t="shared" si="22"/>
        <v>83.021490021999995</v>
      </c>
      <c r="D77">
        <f t="shared" si="21"/>
        <v>41</v>
      </c>
      <c r="E77" s="4" t="str">
        <f t="shared" si="23"/>
        <v>p</v>
      </c>
      <c r="F77">
        <f t="shared" si="24"/>
        <v>2</v>
      </c>
      <c r="G77">
        <v>22</v>
      </c>
      <c r="H77" t="str">
        <f>Data!A74</f>
        <v>StuartS</v>
      </c>
      <c r="I77" s="2" t="str">
        <f>Data!C74</f>
        <v>Roosters</v>
      </c>
      <c r="J77" s="2" t="str">
        <f>Data!D74</f>
        <v>Sea Eagles</v>
      </c>
      <c r="K77" s="2" t="str">
        <f>Data!E74</f>
        <v>Rabbitohs</v>
      </c>
      <c r="L77" s="2" t="str">
        <f>IF(Data!$S$3&lt;Engine!L$1,0,Data!F74)</f>
        <v>Storm</v>
      </c>
      <c r="M77" s="2" t="str">
        <f>IF(Data!$S$3&lt;Engine!M$1,0,Data!G74)</f>
        <v>Knights</v>
      </c>
      <c r="N77" s="2" t="str">
        <f>IF(Data!$S$3&lt;Engine!N$1,0,Data!H74)</f>
        <v>Panthers</v>
      </c>
      <c r="O77" s="2" t="str">
        <f>IF(Data!$S$3&lt;Engine!O$1,0,Data!I74)</f>
        <v>Titans</v>
      </c>
      <c r="P77" s="2" t="str">
        <f>IF(Data!$S$3&lt;Engine!P$1,0,Data!J74)</f>
        <v>Sharks</v>
      </c>
      <c r="Q77" s="17" t="str">
        <f>IF(Data!B74=1,Data!K74,"No Tips")</f>
        <v>Rabbitohs</v>
      </c>
      <c r="R77" s="2">
        <f>Data!L74</f>
        <v>83</v>
      </c>
      <c r="S77" s="2">
        <f>Data!M74</f>
        <v>2149</v>
      </c>
      <c r="T77" s="15">
        <f>IF(I77="","",COUNTIF('Live Ladder'!P:P,I77)+COUNTIF('Live Ladder'!P:P,J77)+COUNTIF('Live Ladder'!P:P,K77)+COUNTIF('Live Ladder'!P:P,L77)+COUNTIF('Live Ladder'!P:P,M77)+COUNTIF('Live Ladder'!P:P,N77)+COUNTIF('Live Ladder'!P:P,O77)+COUNTIF('Live Ladder'!P:P,P77))</f>
        <v>1</v>
      </c>
      <c r="U77" s="15">
        <f>IF(I77="","",IF(COUNTIF('Live Ladder'!P:P,Engine!Q77)=1,2,IF(COUNTIF('Live Ladder'!Q:Q,Engine!Q77)=1,-2,0)))</f>
        <v>0</v>
      </c>
      <c r="V77" s="15">
        <f>IF(I77="","",IF(T77=Data!S$3,2,0))</f>
        <v>0</v>
      </c>
      <c r="W77" s="15">
        <f t="shared" si="25"/>
        <v>1</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24</v>
      </c>
      <c r="Y77">
        <f t="shared" si="17"/>
        <v>84</v>
      </c>
      <c r="Z77">
        <f t="shared" si="26"/>
        <v>2173</v>
      </c>
      <c r="AA77" s="162">
        <f t="shared" si="27"/>
        <v>84.021730022</v>
      </c>
      <c r="AB77">
        <f t="shared" si="28"/>
        <v>1</v>
      </c>
      <c r="AC77">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24</v>
      </c>
      <c r="AF77">
        <f>IF(I77="","",IF(Q77="",0,IF(AND(Q77&gt;0,COUNTIF('Stats Calculator'!$T$24:$AA$24,Q77)=1),HLOOKUP(Q77,'Stats Calculator'!$T$24:$AA$27,4,FALSE),IF(AND(Q77&gt;0,COUNTIF('Stats Calculator'!$T$25:$AA$25,Q77)=1),HLOOKUP(Q77,'Stats Calculator'!$T$25:$AA$27,3,FALSE)))))</f>
        <v>3</v>
      </c>
      <c r="AG77">
        <f>IF(I77="","",COUNTIF(I77,'Stats Calculator'!E$31)+COUNTIF(J77,'Stats Calculator'!E$32)+COUNTIF(K77,'Stats Calculator'!E$33)+COUNTIF(L77,'Stats Calculator'!E$34)+COUNTIF(M77,'Stats Calculator'!E$35)+COUNTIF(N77,'Stats Calculator'!E$36)+COUNTIF(O77,'Stats Calculator'!E$37)+COUNTIF(P77,'Stats Calculator'!E$38)-8+Data!S$3)</f>
        <v>1</v>
      </c>
      <c r="AH77">
        <f>IF(I77="","",IF(Q77="",0,IF(Q77=0,0,IF(VLOOKUP(Engine!AF77,'Stats Calculator'!B$31:E$38,4,FALSE)="",0,IF(VLOOKUP(Engine!AF77,'Stats Calculator'!B$31:E$38,4,FALSE)=Q77,2,-2)))))</f>
        <v>0</v>
      </c>
      <c r="AI77">
        <f>IF(I77="","",Data!S$3-COUNTA('Stats Calculator'!E$31:E$38))</f>
        <v>7</v>
      </c>
      <c r="AJ77">
        <f>IF(I77="","",IF(AF77=0,0,IF(VLOOKUP(AF77,'Stats Calculator'!B$31:E$38,4,FALSE)&gt;0,0,2)))</f>
        <v>2</v>
      </c>
      <c r="AK77">
        <f>IF(I77="","",IF(Data!S$3-Engine!AI77=AG77,2,0))</f>
        <v>2</v>
      </c>
      <c r="AL77">
        <f t="shared" si="29"/>
        <v>12</v>
      </c>
    </row>
    <row r="78" spans="1:38" x14ac:dyDescent="0.3">
      <c r="A78">
        <v>77</v>
      </c>
      <c r="B78">
        <f t="shared" si="20"/>
        <v>24</v>
      </c>
      <c r="C78" s="162">
        <f t="shared" si="22"/>
        <v>87.022250020000001</v>
      </c>
      <c r="D78">
        <f t="shared" si="21"/>
        <v>23</v>
      </c>
      <c r="E78" s="4" t="str">
        <f t="shared" si="23"/>
        <v>p</v>
      </c>
      <c r="F78">
        <f t="shared" si="24"/>
        <v>1</v>
      </c>
      <c r="G78">
        <v>20</v>
      </c>
      <c r="H78" t="str">
        <f>Data!A76</f>
        <v>T-Bone</v>
      </c>
      <c r="I78" s="2" t="str">
        <f>Data!C76</f>
        <v>Roosters</v>
      </c>
      <c r="J78" s="2" t="str">
        <f>Data!D76</f>
        <v>Sea Eagles</v>
      </c>
      <c r="K78" s="2" t="str">
        <f>Data!E76</f>
        <v>Broncos</v>
      </c>
      <c r="L78" s="2" t="str">
        <f>IF(Data!$S$3&lt;Engine!L$1,0,Data!F76)</f>
        <v>Storm</v>
      </c>
      <c r="M78" s="2" t="str">
        <f>IF(Data!$S$3&lt;Engine!M$1,0,Data!G76)</f>
        <v>Knights</v>
      </c>
      <c r="N78" s="2" t="str">
        <f>IF(Data!$S$3&lt;Engine!N$1,0,Data!H76)</f>
        <v>Panthers</v>
      </c>
      <c r="O78" s="2" t="str">
        <f>IF(Data!$S$3&lt;Engine!O$1,0,Data!I76)</f>
        <v>Cowboys</v>
      </c>
      <c r="P78" s="2" t="str">
        <f>IF(Data!$S$3&lt;Engine!P$1,0,Data!J76)</f>
        <v>Eels</v>
      </c>
      <c r="Q78" s="17" t="str">
        <f>IF(Data!B76=1,Data!K76,"No Tips")</f>
        <v>Storm</v>
      </c>
      <c r="R78" s="2">
        <f>Data!L76</f>
        <v>87</v>
      </c>
      <c r="S78" s="2">
        <f>Data!M76</f>
        <v>2225</v>
      </c>
      <c r="T78" s="15">
        <f>IF(I78="","",COUNTIF('Live Ladder'!P:P,I78)+COUNTIF('Live Ladder'!P:P,J78)+COUNTIF('Live Ladder'!P:P,K78)+COUNTIF('Live Ladder'!P:P,L78)+COUNTIF('Live Ladder'!P:P,M78)+COUNTIF('Live Ladder'!P:P,N78)+COUNTIF('Live Ladder'!P:P,O78)+COUNTIF('Live Ladder'!P:P,P78))</f>
        <v>1</v>
      </c>
      <c r="U78" s="15">
        <f>IF(I78="","",IF(COUNTIF('Live Ladder'!P:P,Engine!Q78)=1,2,IF(COUNTIF('Live Ladder'!Q:Q,Engine!Q78)=1,-2,0)))</f>
        <v>0</v>
      </c>
      <c r="V78" s="15">
        <f>IF(I78="","",IF(T78=Data!S$3,2,0))</f>
        <v>0</v>
      </c>
      <c r="W78" s="15">
        <f t="shared" si="25"/>
        <v>1</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24</v>
      </c>
      <c r="Y78">
        <f t="shared" si="17"/>
        <v>88</v>
      </c>
      <c r="Z78">
        <f t="shared" si="26"/>
        <v>2249</v>
      </c>
      <c r="AA78" s="162">
        <f t="shared" si="27"/>
        <v>88.022490020000006</v>
      </c>
      <c r="AB78">
        <f t="shared" si="28"/>
        <v>1</v>
      </c>
      <c r="AC78">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24</v>
      </c>
      <c r="AF78">
        <f>IF(I78="","",IF(Q78="",0,IF(AND(Q78&gt;0,COUNTIF('Stats Calculator'!$T$24:$AA$24,Q78)=1),HLOOKUP(Q78,'Stats Calculator'!$T$24:$AA$27,4,FALSE),IF(AND(Q78&gt;0,COUNTIF('Stats Calculator'!$T$25:$AA$25,Q78)=1),HLOOKUP(Q78,'Stats Calculator'!$T$25:$AA$27,3,FALSE)))))</f>
        <v>4</v>
      </c>
      <c r="AG78">
        <f>IF(I78="","",COUNTIF(I78,'Stats Calculator'!E$31)+COUNTIF(J78,'Stats Calculator'!E$32)+COUNTIF(K78,'Stats Calculator'!E$33)+COUNTIF(L78,'Stats Calculator'!E$34)+COUNTIF(M78,'Stats Calculator'!E$35)+COUNTIF(N78,'Stats Calculator'!E$36)+COUNTIF(O78,'Stats Calculator'!E$37)+COUNTIF(P78,'Stats Calculator'!E$38)-8+Data!S$3)</f>
        <v>1</v>
      </c>
      <c r="AH78">
        <f>IF(I78="","",IF(Q78="",0,IF(Q78=0,0,IF(VLOOKUP(Engine!AF78,'Stats Calculator'!B$31:E$38,4,FALSE)="",0,IF(VLOOKUP(Engine!AF78,'Stats Calculator'!B$31:E$38,4,FALSE)=Q78,2,-2)))))</f>
        <v>0</v>
      </c>
      <c r="AI78">
        <f>IF(I78="","",Data!S$3-COUNTA('Stats Calculator'!E$31:E$38))</f>
        <v>7</v>
      </c>
      <c r="AJ78">
        <f>IF(I78="","",IF(AF78=0,0,IF(VLOOKUP(AF78,'Stats Calculator'!B$31:E$38,4,FALSE)&gt;0,0,2)))</f>
        <v>2</v>
      </c>
      <c r="AK78">
        <f>IF(I78="","",IF(Data!S$3-Engine!AI78=AG78,2,0))</f>
        <v>2</v>
      </c>
      <c r="AL78">
        <f t="shared" si="29"/>
        <v>12</v>
      </c>
    </row>
    <row r="79" spans="1:38" x14ac:dyDescent="0.3">
      <c r="A79">
        <v>78</v>
      </c>
      <c r="B79">
        <f t="shared" si="20"/>
        <v>15</v>
      </c>
      <c r="C79" s="162">
        <f t="shared" si="22"/>
        <v>89.02262003300001</v>
      </c>
      <c r="D79">
        <f t="shared" si="21"/>
        <v>16</v>
      </c>
      <c r="E79" s="4" t="str">
        <f t="shared" si="23"/>
        <v>q</v>
      </c>
      <c r="F79">
        <f t="shared" si="24"/>
        <v>1</v>
      </c>
      <c r="G79">
        <v>33</v>
      </c>
      <c r="H79" t="str">
        <f>Data!A63</f>
        <v>The Creator</v>
      </c>
      <c r="I79" s="2" t="str">
        <f>Data!C63</f>
        <v>Roosters</v>
      </c>
      <c r="J79" s="2" t="str">
        <f>Data!D63</f>
        <v>Sea Eagles</v>
      </c>
      <c r="K79" s="2" t="str">
        <f>Data!E63</f>
        <v>Rabbitohs</v>
      </c>
      <c r="L79" s="2" t="str">
        <f>IF(Data!$S$3&lt;Engine!L$1,0,Data!F63)</f>
        <v>Storm</v>
      </c>
      <c r="M79" s="2" t="str">
        <f>IF(Data!$S$3&lt;Engine!M$1,0,Data!G63)</f>
        <v>Knights</v>
      </c>
      <c r="N79" s="2" t="str">
        <f>IF(Data!$S$3&lt;Engine!N$1,0,Data!H63)</f>
        <v>Panthers</v>
      </c>
      <c r="O79" s="2" t="str">
        <f>IF(Data!$S$3&lt;Engine!O$1,0,Data!I63)</f>
        <v>Titans</v>
      </c>
      <c r="P79" s="2" t="str">
        <f>IF(Data!$S$3&lt;Engine!P$1,0,Data!J63)</f>
        <v>Eels</v>
      </c>
      <c r="Q79" s="17" t="str">
        <f>IF(Data!B63=1,Data!K63,"No Tips")</f>
        <v>Sea Eagles</v>
      </c>
      <c r="R79" s="2">
        <f>Data!L63</f>
        <v>89</v>
      </c>
      <c r="S79" s="2">
        <f>Data!M63</f>
        <v>2262</v>
      </c>
      <c r="T79" s="15">
        <f>IF(I79="","",COUNTIF('Live Ladder'!P:P,I79)+COUNTIF('Live Ladder'!P:P,J79)+COUNTIF('Live Ladder'!P:P,K79)+COUNTIF('Live Ladder'!P:P,L79)+COUNTIF('Live Ladder'!P:P,M79)+COUNTIF('Live Ladder'!P:P,N79)+COUNTIF('Live Ladder'!P:P,O79)+COUNTIF('Live Ladder'!P:P,P79))</f>
        <v>1</v>
      </c>
      <c r="U79" s="15">
        <f>IF(I79="","",IF(COUNTIF('Live Ladder'!P:P,Engine!Q79)=1,2,IF(COUNTIF('Live Ladder'!Q:Q,Engine!Q79)=1,-2,0)))</f>
        <v>0</v>
      </c>
      <c r="V79" s="15">
        <f>IF(I79="","",IF(T79=Data!S$3,2,0))</f>
        <v>0</v>
      </c>
      <c r="W79" s="15">
        <f t="shared" si="25"/>
        <v>1</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24</v>
      </c>
      <c r="Y79">
        <f t="shared" si="17"/>
        <v>90</v>
      </c>
      <c r="Z79">
        <f t="shared" si="26"/>
        <v>2286</v>
      </c>
      <c r="AA79" s="162">
        <f t="shared" si="27"/>
        <v>90.022860033000001</v>
      </c>
      <c r="AB79">
        <f t="shared" si="28"/>
        <v>1</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24</v>
      </c>
      <c r="AF79">
        <f>IF(I79="","",IF(Q79="",0,IF(AND(Q79&gt;0,COUNTIF('Stats Calculator'!$T$24:$AA$24,Q79)=1),HLOOKUP(Q79,'Stats Calculator'!$T$24:$AA$27,4,FALSE),IF(AND(Q79&gt;0,COUNTIF('Stats Calculator'!$T$25:$AA$25,Q79)=1),HLOOKUP(Q79,'Stats Calculator'!$T$25:$AA$27,3,FALSE)))))</f>
        <v>2</v>
      </c>
      <c r="AG79">
        <f>IF(I79="","",COUNTIF(I79,'Stats Calculator'!E$31)+COUNTIF(J79,'Stats Calculator'!E$32)+COUNTIF(K79,'Stats Calculator'!E$33)+COUNTIF(L79,'Stats Calculator'!E$34)+COUNTIF(M79,'Stats Calculator'!E$35)+COUNTIF(N79,'Stats Calculator'!E$36)+COUNTIF(O79,'Stats Calculator'!E$37)+COUNTIF(P79,'Stats Calculator'!E$38)-8+Data!S$3)</f>
        <v>1</v>
      </c>
      <c r="AH79">
        <f>IF(I79="","",IF(Q79="",0,IF(Q79=0,0,IF(VLOOKUP(Engine!AF79,'Stats Calculator'!B$31:E$38,4,FALSE)="",0,IF(VLOOKUP(Engine!AF79,'Stats Calculator'!B$31:E$38,4,FALSE)=Q79,2,-2)))))</f>
        <v>0</v>
      </c>
      <c r="AI79">
        <f>IF(I79="","",Data!S$3-COUNTA('Stats Calculator'!E$31:E$38))</f>
        <v>7</v>
      </c>
      <c r="AJ79">
        <f>IF(I79="","",IF(AF79=0,0,IF(VLOOKUP(AF79,'Stats Calculator'!B$31:E$38,4,FALSE)&gt;0,0,2)))</f>
        <v>2</v>
      </c>
      <c r="AK79">
        <f>IF(I79="","",IF(Data!S$3-Engine!AI79=AG79,2,0))</f>
        <v>2</v>
      </c>
      <c r="AL79">
        <f t="shared" si="29"/>
        <v>12</v>
      </c>
    </row>
    <row r="80" spans="1:38" x14ac:dyDescent="0.3">
      <c r="A80">
        <v>79</v>
      </c>
      <c r="B80">
        <f t="shared" si="20"/>
        <v>27</v>
      </c>
      <c r="C80" s="162">
        <f t="shared" si="22"/>
        <v>86.023100032000002</v>
      </c>
      <c r="D80">
        <f t="shared" si="21"/>
        <v>24</v>
      </c>
      <c r="E80" s="4" t="str">
        <f t="shared" si="23"/>
        <v>p</v>
      </c>
      <c r="F80">
        <f t="shared" si="24"/>
        <v>3</v>
      </c>
      <c r="G80">
        <v>32</v>
      </c>
      <c r="H80" t="str">
        <f>Data!A64</f>
        <v>TheZipZipMan</v>
      </c>
      <c r="I80" s="2" t="str">
        <f>Data!C64</f>
        <v>Roosters</v>
      </c>
      <c r="J80" s="2" t="str">
        <f>Data!D64</f>
        <v>Sea Eagles</v>
      </c>
      <c r="K80" s="2" t="str">
        <f>Data!E64</f>
        <v>Rabbitohs</v>
      </c>
      <c r="L80" s="2" t="str">
        <f>IF(Data!$S$3&lt;Engine!L$1,0,Data!F64)</f>
        <v>Storm</v>
      </c>
      <c r="M80" s="2" t="str">
        <f>IF(Data!$S$3&lt;Engine!M$1,0,Data!G64)</f>
        <v>Knights</v>
      </c>
      <c r="N80" s="2" t="str">
        <f>IF(Data!$S$3&lt;Engine!N$1,0,Data!H64)</f>
        <v>Panthers</v>
      </c>
      <c r="O80" s="2" t="str">
        <f>IF(Data!$S$3&lt;Engine!O$1,0,Data!I64)</f>
        <v>Titans</v>
      </c>
      <c r="P80" s="2" t="str">
        <f>IF(Data!$S$3&lt;Engine!P$1,0,Data!J64)</f>
        <v>Eels</v>
      </c>
      <c r="Q80" s="17" t="str">
        <f>IF(Data!B64=1,Data!K64,"No Tips")</f>
        <v>Storm</v>
      </c>
      <c r="R80" s="2">
        <f>Data!L64</f>
        <v>86</v>
      </c>
      <c r="S80" s="2">
        <f>Data!M64</f>
        <v>2310</v>
      </c>
      <c r="T80" s="15">
        <f>IF(I80="","",COUNTIF('Live Ladder'!P:P,I80)+COUNTIF('Live Ladder'!P:P,J80)+COUNTIF('Live Ladder'!P:P,K80)+COUNTIF('Live Ladder'!P:P,L80)+COUNTIF('Live Ladder'!P:P,M80)+COUNTIF('Live Ladder'!P:P,N80)+COUNTIF('Live Ladder'!P:P,O80)+COUNTIF('Live Ladder'!P:P,P80))</f>
        <v>1</v>
      </c>
      <c r="U80" s="15">
        <f>IF(I80="","",IF(COUNTIF('Live Ladder'!P:P,Engine!Q80)=1,2,IF(COUNTIF('Live Ladder'!Q:Q,Engine!Q80)=1,-2,0)))</f>
        <v>0</v>
      </c>
      <c r="V80" s="15">
        <f>IF(I80="","",IF(T80=Data!S$3,2,0))</f>
        <v>0</v>
      </c>
      <c r="W80" s="15">
        <f t="shared" si="25"/>
        <v>1</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24</v>
      </c>
      <c r="Y80">
        <f t="shared" si="17"/>
        <v>87</v>
      </c>
      <c r="Z80">
        <f t="shared" si="26"/>
        <v>2334</v>
      </c>
      <c r="AA80" s="162">
        <f t="shared" si="27"/>
        <v>87.023340032000007</v>
      </c>
      <c r="AB80">
        <f t="shared" si="28"/>
        <v>1</v>
      </c>
      <c r="AC80">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24</v>
      </c>
      <c r="AD80" s="16"/>
      <c r="AE80" s="16"/>
      <c r="AF80">
        <f>IF(I80="","",IF(Q80="",0,IF(AND(Q80&gt;0,COUNTIF('Stats Calculator'!$T$24:$AA$24,Q80)=1),HLOOKUP(Q80,'Stats Calculator'!$T$24:$AA$27,4,FALSE),IF(AND(Q80&gt;0,COUNTIF('Stats Calculator'!$T$25:$AA$25,Q80)=1),HLOOKUP(Q80,'Stats Calculator'!$T$25:$AA$27,3,FALSE)))))</f>
        <v>4</v>
      </c>
      <c r="AG80">
        <f>IF(I80="","",COUNTIF(I80,'Stats Calculator'!E$31)+COUNTIF(J80,'Stats Calculator'!E$32)+COUNTIF(K80,'Stats Calculator'!E$33)+COUNTIF(L80,'Stats Calculator'!E$34)+COUNTIF(M80,'Stats Calculator'!E$35)+COUNTIF(N80,'Stats Calculator'!E$36)+COUNTIF(O80,'Stats Calculator'!E$37)+COUNTIF(P80,'Stats Calculator'!E$38)-8+Data!S$3)</f>
        <v>1</v>
      </c>
      <c r="AH80">
        <f>IF(I80="","",IF(Q80="",0,IF(Q80=0,0,IF(VLOOKUP(Engine!AF80,'Stats Calculator'!B$31:E$38,4,FALSE)="",0,IF(VLOOKUP(Engine!AF80,'Stats Calculator'!B$31:E$38,4,FALSE)=Q80,2,-2)))))</f>
        <v>0</v>
      </c>
      <c r="AI80">
        <f>IF(I80="","",Data!S$3-COUNTA('Stats Calculator'!E$31:E$38))</f>
        <v>7</v>
      </c>
      <c r="AJ80">
        <f>IF(I80="","",IF(AF80=0,0,IF(VLOOKUP(AF80,'Stats Calculator'!B$31:E$38,4,FALSE)&gt;0,0,2)))</f>
        <v>2</v>
      </c>
      <c r="AK80">
        <f>IF(I80="","",IF(Data!S$3-Engine!AI80=AG80,2,0))</f>
        <v>2</v>
      </c>
      <c r="AL80">
        <f t="shared" si="29"/>
        <v>12</v>
      </c>
    </row>
    <row r="81" spans="1:38" x14ac:dyDescent="0.3">
      <c r="A81">
        <v>80</v>
      </c>
      <c r="B81">
        <f t="shared" si="20"/>
        <v>59</v>
      </c>
      <c r="C81" s="162">
        <f t="shared" si="22"/>
        <v>71.022710031000003</v>
      </c>
      <c r="D81">
        <f t="shared" si="21"/>
        <v>60</v>
      </c>
      <c r="E81" s="4" t="str">
        <f t="shared" si="23"/>
        <v>q</v>
      </c>
      <c r="F81">
        <f t="shared" si="24"/>
        <v>1</v>
      </c>
      <c r="G81">
        <v>31</v>
      </c>
      <c r="H81" t="str">
        <f>Data!A65</f>
        <v>Timbo</v>
      </c>
      <c r="I81" s="2" t="str">
        <f>Data!C65</f>
        <v>Roosters</v>
      </c>
      <c r="J81" s="2" t="str">
        <f>Data!D65</f>
        <v>Sea Eagles</v>
      </c>
      <c r="K81" s="2" t="str">
        <f>Data!E65</f>
        <v>Rabbitohs</v>
      </c>
      <c r="L81" s="2" t="str">
        <f>IF(Data!$S$3&lt;Engine!L$1,0,Data!F65)</f>
        <v>Storm</v>
      </c>
      <c r="M81" s="2" t="str">
        <f>IF(Data!$S$3&lt;Engine!M$1,0,Data!G65)</f>
        <v>Knights</v>
      </c>
      <c r="N81" s="2" t="str">
        <f>IF(Data!$S$3&lt;Engine!N$1,0,Data!H65)</f>
        <v>Panthers</v>
      </c>
      <c r="O81" s="2" t="str">
        <f>IF(Data!$S$3&lt;Engine!O$1,0,Data!I65)</f>
        <v>Cowboys</v>
      </c>
      <c r="P81" s="2" t="str">
        <f>IF(Data!$S$3&lt;Engine!P$1,0,Data!J65)</f>
        <v>Eels</v>
      </c>
      <c r="Q81" s="17" t="str">
        <f>IF(Data!B65=1,Data!K65,"No Tips")</f>
        <v>Storm</v>
      </c>
      <c r="R81" s="2">
        <f>Data!L65</f>
        <v>71</v>
      </c>
      <c r="S81" s="2">
        <f>Data!M65</f>
        <v>2271</v>
      </c>
      <c r="T81" s="15">
        <f>IF(I81="","",COUNTIF('Live Ladder'!P:P,I81)+COUNTIF('Live Ladder'!P:P,J81)+COUNTIF('Live Ladder'!P:P,K81)+COUNTIF('Live Ladder'!P:P,L81)+COUNTIF('Live Ladder'!P:P,M81)+COUNTIF('Live Ladder'!P:P,N81)+COUNTIF('Live Ladder'!P:P,O81)+COUNTIF('Live Ladder'!P:P,P81))</f>
        <v>1</v>
      </c>
      <c r="U81" s="15">
        <f>IF(I81="","",IF(COUNTIF('Live Ladder'!P:P,Engine!Q81)=1,2,IF(COUNTIF('Live Ladder'!Q:Q,Engine!Q81)=1,-2,0)))</f>
        <v>0</v>
      </c>
      <c r="V81" s="15">
        <f>IF(I81="","",IF(T81=Data!S$3,2,0))</f>
        <v>0</v>
      </c>
      <c r="W81" s="15">
        <f t="shared" si="25"/>
        <v>1</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24</v>
      </c>
      <c r="Y81">
        <f t="shared" ref="Y81:Y85" si="30">IF(H81="ZZZZZZ Suspend","",R81+W81)</f>
        <v>72</v>
      </c>
      <c r="Z81">
        <f t="shared" si="26"/>
        <v>2295</v>
      </c>
      <c r="AA81" s="162">
        <f t="shared" si="27"/>
        <v>72.022950030999993</v>
      </c>
      <c r="AB81">
        <f t="shared" si="28"/>
        <v>1</v>
      </c>
      <c r="AC81">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24</v>
      </c>
      <c r="AF81">
        <f>IF(I81="","",IF(Q81="",0,IF(AND(Q81&gt;0,COUNTIF('Stats Calculator'!$T$24:$AA$24,Q81)=1),HLOOKUP(Q81,'Stats Calculator'!$T$24:$AA$27,4,FALSE),IF(AND(Q81&gt;0,COUNTIF('Stats Calculator'!$T$25:$AA$25,Q81)=1),HLOOKUP(Q81,'Stats Calculator'!$T$25:$AA$27,3,FALSE)))))</f>
        <v>4</v>
      </c>
      <c r="AG81">
        <f>IF(I81="","",COUNTIF(I81,'Stats Calculator'!E$31)+COUNTIF(J81,'Stats Calculator'!E$32)+COUNTIF(K81,'Stats Calculator'!E$33)+COUNTIF(L81,'Stats Calculator'!E$34)+COUNTIF(M81,'Stats Calculator'!E$35)+COUNTIF(N81,'Stats Calculator'!E$36)+COUNTIF(O81,'Stats Calculator'!E$37)+COUNTIF(P81,'Stats Calculator'!E$38)-8+Data!S$3)</f>
        <v>1</v>
      </c>
      <c r="AH81">
        <f>IF(I81="","",IF(Q81="",0,IF(Q81=0,0,IF(VLOOKUP(Engine!AF81,'Stats Calculator'!B$31:E$38,4,FALSE)="",0,IF(VLOOKUP(Engine!AF81,'Stats Calculator'!B$31:E$38,4,FALSE)=Q81,2,-2)))))</f>
        <v>0</v>
      </c>
      <c r="AI81">
        <f>IF(I81="","",Data!S$3-COUNTA('Stats Calculator'!E$31:E$38))</f>
        <v>7</v>
      </c>
      <c r="AJ81">
        <f>IF(I81="","",IF(AF81=0,0,IF(VLOOKUP(AF81,'Stats Calculator'!B$31:E$38,4,FALSE)&gt;0,0,2)))</f>
        <v>2</v>
      </c>
      <c r="AK81">
        <f>IF(I81="","",IF(Data!S$3-Engine!AI81=AG81,2,0))</f>
        <v>2</v>
      </c>
      <c r="AL81">
        <f t="shared" si="29"/>
        <v>12</v>
      </c>
    </row>
    <row r="82" spans="1:38" x14ac:dyDescent="0.3">
      <c r="A82">
        <v>81</v>
      </c>
      <c r="B82">
        <f t="shared" si="20"/>
        <v>56</v>
      </c>
      <c r="C82" s="162">
        <f t="shared" si="22"/>
        <v>74.021610029999991</v>
      </c>
      <c r="D82">
        <f t="shared" si="21"/>
        <v>56</v>
      </c>
      <c r="E82" s="4" t="str">
        <f t="shared" si="23"/>
        <v>u</v>
      </c>
      <c r="F82" t="str">
        <f t="shared" si="24"/>
        <v/>
      </c>
      <c r="G82">
        <v>30</v>
      </c>
      <c r="H82" t="str">
        <f>Data!A66</f>
        <v>Toothpick13</v>
      </c>
      <c r="I82" s="2" t="str">
        <f>Data!C66</f>
        <v>Roosters</v>
      </c>
      <c r="J82" s="2" t="str">
        <f>Data!D66</f>
        <v>Sea Eagles</v>
      </c>
      <c r="K82" s="2" t="str">
        <f>Data!E66</f>
        <v>Rabbitohs</v>
      </c>
      <c r="L82" s="2" t="str">
        <f>IF(Data!$S$3&lt;Engine!L$1,0,Data!F66)</f>
        <v>Storm</v>
      </c>
      <c r="M82" s="2" t="str">
        <f>IF(Data!$S$3&lt;Engine!M$1,0,Data!G66)</f>
        <v>Wests Tigers</v>
      </c>
      <c r="N82" s="2" t="str">
        <f>IF(Data!$S$3&lt;Engine!N$1,0,Data!H66)</f>
        <v>Panthers</v>
      </c>
      <c r="O82" s="2" t="str">
        <f>IF(Data!$S$3&lt;Engine!O$1,0,Data!I66)</f>
        <v>Cowboys</v>
      </c>
      <c r="P82" s="2" t="str">
        <f>IF(Data!$S$3&lt;Engine!P$1,0,Data!J66)</f>
        <v>Eels</v>
      </c>
      <c r="Q82" s="17" t="str">
        <f>IF(Data!B66=1,Data!K66,"No Tips")</f>
        <v>Storm</v>
      </c>
      <c r="R82" s="2">
        <f>Data!L66</f>
        <v>74</v>
      </c>
      <c r="S82" s="2">
        <f>Data!M66</f>
        <v>2161</v>
      </c>
      <c r="T82" s="15">
        <f>IF(I82="","",COUNTIF('Live Ladder'!P:P,I82)+COUNTIF('Live Ladder'!P:P,J82)+COUNTIF('Live Ladder'!P:P,K82)+COUNTIF('Live Ladder'!P:P,L82)+COUNTIF('Live Ladder'!P:P,M82)+COUNTIF('Live Ladder'!P:P,N82)+COUNTIF('Live Ladder'!P:P,O82)+COUNTIF('Live Ladder'!P:P,P82))</f>
        <v>1</v>
      </c>
      <c r="U82" s="15">
        <f>IF(I82="","",IF(COUNTIF('Live Ladder'!P:P,Engine!Q82)=1,2,IF(COUNTIF('Live Ladder'!Q:Q,Engine!Q82)=1,-2,0)))</f>
        <v>0</v>
      </c>
      <c r="V82" s="15">
        <f>IF(I82="","",IF(T82=Data!S$3,2,0))</f>
        <v>0</v>
      </c>
      <c r="W82" s="15">
        <f t="shared" si="25"/>
        <v>1</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24</v>
      </c>
      <c r="Y82">
        <f t="shared" si="30"/>
        <v>75</v>
      </c>
      <c r="Z82">
        <f t="shared" si="26"/>
        <v>2185</v>
      </c>
      <c r="AA82" s="162">
        <f t="shared" si="27"/>
        <v>75.021850029999996</v>
      </c>
      <c r="AB82">
        <f t="shared" si="28"/>
        <v>1</v>
      </c>
      <c r="AC82">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24</v>
      </c>
      <c r="AF82">
        <f>IF(I82="","",IF(Q82="",0,IF(AND(Q82&gt;0,COUNTIF('Stats Calculator'!$T$24:$AA$24,Q82)=1),HLOOKUP(Q82,'Stats Calculator'!$T$24:$AA$27,4,FALSE),IF(AND(Q82&gt;0,COUNTIF('Stats Calculator'!$T$25:$AA$25,Q82)=1),HLOOKUP(Q82,'Stats Calculator'!$T$25:$AA$27,3,FALSE)))))</f>
        <v>4</v>
      </c>
      <c r="AG82">
        <f>IF(I82="","",COUNTIF(I82,'Stats Calculator'!E$31)+COUNTIF(J82,'Stats Calculator'!E$32)+COUNTIF(K82,'Stats Calculator'!E$33)+COUNTIF(L82,'Stats Calculator'!E$34)+COUNTIF(M82,'Stats Calculator'!E$35)+COUNTIF(N82,'Stats Calculator'!E$36)+COUNTIF(O82,'Stats Calculator'!E$37)+COUNTIF(P82,'Stats Calculator'!E$38)-8+Data!S$3)</f>
        <v>1</v>
      </c>
      <c r="AH82">
        <f>IF(I82="","",IF(Q82="",0,IF(Q82=0,0,IF(VLOOKUP(Engine!AF82,'Stats Calculator'!B$31:E$38,4,FALSE)="",0,IF(VLOOKUP(Engine!AF82,'Stats Calculator'!B$31:E$38,4,FALSE)=Q82,2,-2)))))</f>
        <v>0</v>
      </c>
      <c r="AI82">
        <f>IF(I82="","",Data!S$3-COUNTA('Stats Calculator'!E$31:E$38))</f>
        <v>7</v>
      </c>
      <c r="AJ82">
        <f>IF(I82="","",IF(AF82=0,0,IF(VLOOKUP(AF82,'Stats Calculator'!B$31:E$38,4,FALSE)&gt;0,0,2)))</f>
        <v>2</v>
      </c>
      <c r="AK82">
        <f>IF(I82="","",IF(Data!S$3-Engine!AI82=AG82,2,0))</f>
        <v>2</v>
      </c>
      <c r="AL82">
        <f t="shared" si="29"/>
        <v>12</v>
      </c>
    </row>
    <row r="83" spans="1:38" x14ac:dyDescent="0.3">
      <c r="A83">
        <v>82</v>
      </c>
      <c r="B83">
        <f t="shared" si="20"/>
        <v>32</v>
      </c>
      <c r="C83" s="162">
        <f t="shared" si="22"/>
        <v>85.022700029000006</v>
      </c>
      <c r="D83">
        <f t="shared" si="21"/>
        <v>31</v>
      </c>
      <c r="E83" s="4" t="str">
        <f t="shared" si="23"/>
        <v>p</v>
      </c>
      <c r="F83">
        <f t="shared" si="24"/>
        <v>1</v>
      </c>
      <c r="G83">
        <v>29</v>
      </c>
      <c r="H83" t="str">
        <f>Data!A67</f>
        <v>Wiley C</v>
      </c>
      <c r="I83" s="2" t="str">
        <f>Data!C67</f>
        <v>Roosters</v>
      </c>
      <c r="J83" s="2" t="str">
        <f>Data!D67</f>
        <v>Sea Eagles</v>
      </c>
      <c r="K83" s="2" t="str">
        <f>Data!E67</f>
        <v>Rabbitohs</v>
      </c>
      <c r="L83" s="2" t="str">
        <f>IF(Data!$S$3&lt;Engine!L$1,0,Data!F67)</f>
        <v>Storm</v>
      </c>
      <c r="M83" s="2" t="str">
        <f>IF(Data!$S$3&lt;Engine!M$1,0,Data!G67)</f>
        <v>Knights</v>
      </c>
      <c r="N83" s="2" t="str">
        <f>IF(Data!$S$3&lt;Engine!N$1,0,Data!H67)</f>
        <v>Panthers</v>
      </c>
      <c r="O83" s="2" t="str">
        <f>IF(Data!$S$3&lt;Engine!O$1,0,Data!I67)</f>
        <v>Cowboys</v>
      </c>
      <c r="P83" s="2" t="str">
        <f>IF(Data!$S$3&lt;Engine!P$1,0,Data!J67)</f>
        <v>Eels</v>
      </c>
      <c r="Q83" s="17" t="str">
        <f>IF(Data!B67=1,Data!K67,"No Tips")</f>
        <v>Storm</v>
      </c>
      <c r="R83" s="2">
        <f>Data!L67</f>
        <v>85</v>
      </c>
      <c r="S83" s="2">
        <f>Data!M67</f>
        <v>2270</v>
      </c>
      <c r="T83" s="15">
        <f>IF(I83="","",COUNTIF('Live Ladder'!P:P,I83)+COUNTIF('Live Ladder'!P:P,J83)+COUNTIF('Live Ladder'!P:P,K83)+COUNTIF('Live Ladder'!P:P,L83)+COUNTIF('Live Ladder'!P:P,M83)+COUNTIF('Live Ladder'!P:P,N83)+COUNTIF('Live Ladder'!P:P,O83)+COUNTIF('Live Ladder'!P:P,P83))</f>
        <v>1</v>
      </c>
      <c r="U83" s="15">
        <f>IF(I83="","",IF(COUNTIF('Live Ladder'!P:P,Engine!Q83)=1,2,IF(COUNTIF('Live Ladder'!Q:Q,Engine!Q83)=1,-2,0)))</f>
        <v>0</v>
      </c>
      <c r="V83" s="15">
        <f>IF(I83="","",IF(T83=Data!S$3,2,0))</f>
        <v>0</v>
      </c>
      <c r="W83" s="15">
        <f t="shared" si="25"/>
        <v>1</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24</v>
      </c>
      <c r="Y83">
        <f t="shared" si="30"/>
        <v>86</v>
      </c>
      <c r="Z83">
        <f t="shared" si="26"/>
        <v>2294</v>
      </c>
      <c r="AA83" s="162">
        <f t="shared" si="27"/>
        <v>86.022940029000011</v>
      </c>
      <c r="AB83">
        <f t="shared" si="28"/>
        <v>1</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24</v>
      </c>
      <c r="AF83">
        <f>IF(I83="","",IF(Q83="",0,IF(AND(Q83&gt;0,COUNTIF('Stats Calculator'!$T$24:$AA$24,Q83)=1),HLOOKUP(Q83,'Stats Calculator'!$T$24:$AA$27,4,FALSE),IF(AND(Q83&gt;0,COUNTIF('Stats Calculator'!$T$25:$AA$25,Q83)=1),HLOOKUP(Q83,'Stats Calculator'!$T$25:$AA$27,3,FALSE)))))</f>
        <v>4</v>
      </c>
      <c r="AG83">
        <f>IF(I83="","",COUNTIF(I83,'Stats Calculator'!E$31)+COUNTIF(J83,'Stats Calculator'!E$32)+COUNTIF(K83,'Stats Calculator'!E$33)+COUNTIF(L83,'Stats Calculator'!E$34)+COUNTIF(M83,'Stats Calculator'!E$35)+COUNTIF(N83,'Stats Calculator'!E$36)+COUNTIF(O83,'Stats Calculator'!E$37)+COUNTIF(P83,'Stats Calculator'!E$38)-8+Data!S$3)</f>
        <v>1</v>
      </c>
      <c r="AH83">
        <f>IF(I83="","",IF(Q83="",0,IF(Q83=0,0,IF(VLOOKUP(Engine!AF83,'Stats Calculator'!B$31:E$38,4,FALSE)="",0,IF(VLOOKUP(Engine!AF83,'Stats Calculator'!B$31:E$38,4,FALSE)=Q83,2,-2)))))</f>
        <v>0</v>
      </c>
      <c r="AI83">
        <f>IF(I83="","",Data!S$3-COUNTA('Stats Calculator'!E$31:E$38))</f>
        <v>7</v>
      </c>
      <c r="AJ83">
        <f>IF(I83="","",IF(AF83=0,0,IF(VLOOKUP(AF83,'Stats Calculator'!B$31:E$38,4,FALSE)&gt;0,0,2)))</f>
        <v>2</v>
      </c>
      <c r="AK83">
        <f>IF(I83="","",IF(Data!S$3-Engine!AI83=AG83,2,0))</f>
        <v>2</v>
      </c>
      <c r="AL83">
        <f t="shared" si="29"/>
        <v>12</v>
      </c>
    </row>
    <row r="84" spans="1:38" x14ac:dyDescent="0.3">
      <c r="A84">
        <v>83</v>
      </c>
      <c r="B84">
        <f t="shared" si="20"/>
        <v>14</v>
      </c>
      <c r="C84" s="162">
        <f t="shared" si="22"/>
        <v>89.022710028000006</v>
      </c>
      <c r="D84">
        <f t="shared" si="21"/>
        <v>15</v>
      </c>
      <c r="E84" s="4" t="str">
        <f t="shared" si="23"/>
        <v>q</v>
      </c>
      <c r="F84">
        <f t="shared" si="24"/>
        <v>1</v>
      </c>
      <c r="G84">
        <v>28</v>
      </c>
      <c r="H84" t="str">
        <f>Data!A68</f>
        <v>Yackas</v>
      </c>
      <c r="I84" s="2" t="str">
        <f>Data!C68</f>
        <v>Roosters</v>
      </c>
      <c r="J84" s="2" t="str">
        <f>Data!D68</f>
        <v>Sea Eagles</v>
      </c>
      <c r="K84" s="2" t="str">
        <f>Data!E68</f>
        <v>Rabbitohs</v>
      </c>
      <c r="L84" s="2" t="str">
        <f>IF(Data!$S$3&lt;Engine!L$1,0,Data!F68)</f>
        <v>Storm</v>
      </c>
      <c r="M84" s="2" t="str">
        <f>IF(Data!$S$3&lt;Engine!M$1,0,Data!G68)</f>
        <v>Knights</v>
      </c>
      <c r="N84" s="2" t="str">
        <f>IF(Data!$S$3&lt;Engine!N$1,0,Data!H68)</f>
        <v>Panthers</v>
      </c>
      <c r="O84" s="2" t="str">
        <f>IF(Data!$S$3&lt;Engine!O$1,0,Data!I68)</f>
        <v>Titans</v>
      </c>
      <c r="P84" s="2" t="str">
        <f>IF(Data!$S$3&lt;Engine!P$1,0,Data!J68)</f>
        <v>Eels</v>
      </c>
      <c r="Q84" s="17" t="str">
        <f>IF(Data!B68=1,Data!K68,"No Tips")</f>
        <v>Storm</v>
      </c>
      <c r="R84" s="2">
        <f>Data!L68</f>
        <v>89</v>
      </c>
      <c r="S84" s="2">
        <f>Data!M68</f>
        <v>2271</v>
      </c>
      <c r="T84" s="15">
        <f>IF(I84="","",COUNTIF('Live Ladder'!P:P,I84)+COUNTIF('Live Ladder'!P:P,J84)+COUNTIF('Live Ladder'!P:P,K84)+COUNTIF('Live Ladder'!P:P,L84)+COUNTIF('Live Ladder'!P:P,M84)+COUNTIF('Live Ladder'!P:P,N84)+COUNTIF('Live Ladder'!P:P,O84)+COUNTIF('Live Ladder'!P:P,P84))</f>
        <v>1</v>
      </c>
      <c r="U84" s="15">
        <f>IF(I84="","",IF(COUNTIF('Live Ladder'!P:P,Engine!Q84)=1,2,IF(COUNTIF('Live Ladder'!Q:Q,Engine!Q84)=1,-2,0)))</f>
        <v>0</v>
      </c>
      <c r="V84" s="15">
        <f>IF(I84="","",IF(T84=Data!S$3,2,0))</f>
        <v>0</v>
      </c>
      <c r="W84" s="15">
        <f t="shared" si="25"/>
        <v>1</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24</v>
      </c>
      <c r="Y84">
        <f t="shared" si="30"/>
        <v>90</v>
      </c>
      <c r="Z84">
        <f t="shared" si="26"/>
        <v>2295</v>
      </c>
      <c r="AA84" s="162">
        <f t="shared" si="27"/>
        <v>90.022950027999997</v>
      </c>
      <c r="AB84">
        <f t="shared" si="28"/>
        <v>1</v>
      </c>
      <c r="AC84">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24</v>
      </c>
      <c r="AF84">
        <f>IF(I84="","",IF(Q84="",0,IF(AND(Q84&gt;0,COUNTIF('Stats Calculator'!$T$24:$AA$24,Q84)=1),HLOOKUP(Q84,'Stats Calculator'!$T$24:$AA$27,4,FALSE),IF(AND(Q84&gt;0,COUNTIF('Stats Calculator'!$T$25:$AA$25,Q84)=1),HLOOKUP(Q84,'Stats Calculator'!$T$25:$AA$27,3,FALSE)))))</f>
        <v>4</v>
      </c>
      <c r="AG84">
        <f>IF(I84="","",COUNTIF(I84,'Stats Calculator'!E$31)+COUNTIF(J84,'Stats Calculator'!E$32)+COUNTIF(K84,'Stats Calculator'!E$33)+COUNTIF(L84,'Stats Calculator'!E$34)+COUNTIF(M84,'Stats Calculator'!E$35)+COUNTIF(N84,'Stats Calculator'!E$36)+COUNTIF(O84,'Stats Calculator'!E$37)+COUNTIF(P84,'Stats Calculator'!E$38)-8+Data!S$3)</f>
        <v>1</v>
      </c>
      <c r="AH84">
        <f>IF(I84="","",IF(Q84="",0,IF(Q84=0,0,IF(VLOOKUP(Engine!AF84,'Stats Calculator'!B$31:E$38,4,FALSE)="",0,IF(VLOOKUP(Engine!AF84,'Stats Calculator'!B$31:E$38,4,FALSE)=Q84,2,-2)))))</f>
        <v>0</v>
      </c>
      <c r="AI84">
        <f>IF(I84="","",Data!S$3-COUNTA('Stats Calculator'!E$31:E$38))</f>
        <v>7</v>
      </c>
      <c r="AJ84">
        <f>IF(I84="","",IF(AF84=0,0,IF(VLOOKUP(AF84,'Stats Calculator'!B$31:E$38,4,FALSE)&gt;0,0,2)))</f>
        <v>2</v>
      </c>
      <c r="AK84">
        <f>IF(I84="","",IF(Data!S$3-Engine!AI84=AG84,2,0))</f>
        <v>2</v>
      </c>
      <c r="AL84">
        <f t="shared" si="29"/>
        <v>12</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0</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0</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0</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0</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0</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0</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0</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0</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0</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0</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63</v>
      </c>
      <c r="C95" s="162">
        <f t="shared" si="22"/>
        <v>70.020860998999993</v>
      </c>
      <c r="D95">
        <f>RANK(AA95,AA:AA)</f>
        <v>64</v>
      </c>
      <c r="E95" s="4" t="str">
        <f>IF(H95="ZZZZZZ Suspend","",IF(D95&lt;B95,AD$3,IF(D95&gt;B95,AD$4,AD$5)))</f>
        <v>q</v>
      </c>
      <c r="F95">
        <f>IF(D95&gt;B95,D95-B95,IF(D95&lt;B95,B95-D95,""))</f>
        <v>1</v>
      </c>
      <c r="G95">
        <v>999</v>
      </c>
      <c r="H95" t="str">
        <f>Data!A96</f>
        <v>***Footy Tipper***</v>
      </c>
      <c r="I95" s="2" t="str">
        <f>Data!C96</f>
        <v>Roosters</v>
      </c>
      <c r="J95" s="2" t="str">
        <f>Data!D96</f>
        <v>Sea Eagles</v>
      </c>
      <c r="K95" s="2" t="str">
        <f>Data!E96</f>
        <v>Rabbitohs</v>
      </c>
      <c r="L95" s="2" t="str">
        <f>Data!F96</f>
        <v>Storm</v>
      </c>
      <c r="M95" s="2" t="str">
        <f>Data!G96</f>
        <v>Wests Tigers</v>
      </c>
      <c r="N95" s="2" t="str">
        <f>Data!H96</f>
        <v>Panthers</v>
      </c>
      <c r="O95" s="2" t="str">
        <f>Data!I96</f>
        <v>Titans</v>
      </c>
      <c r="P95" s="2" t="str">
        <f>Data!J96</f>
        <v>Eels</v>
      </c>
      <c r="Q95" s="2" t="str">
        <f>Data!K96</f>
        <v>Storm</v>
      </c>
      <c r="R95" s="2">
        <f>Data!L96</f>
        <v>70</v>
      </c>
      <c r="S95" s="2">
        <f>Data!M96</f>
        <v>2086</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Y95">
        <f>R95+SUM(T95:V95)</f>
        <v>71</v>
      </c>
      <c r="Z95">
        <f>S95+X95</f>
        <v>2110</v>
      </c>
      <c r="AA95" s="162">
        <f t="shared" si="27"/>
        <v>71.021100998999998</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148</v>
      </c>
      <c r="D3" t="s">
        <v>127</v>
      </c>
      <c r="E3" t="s">
        <v>128</v>
      </c>
      <c r="F3" t="s">
        <v>126</v>
      </c>
      <c r="G3" t="s">
        <v>152</v>
      </c>
      <c r="H3" t="s">
        <v>122</v>
      </c>
      <c r="I3" t="s">
        <v>129</v>
      </c>
      <c r="J3" t="s">
        <v>147</v>
      </c>
      <c r="K3" t="s">
        <v>126</v>
      </c>
      <c r="L3">
        <v>92</v>
      </c>
      <c r="M3">
        <v>2336</v>
      </c>
      <c r="N3" t="s">
        <v>153</v>
      </c>
      <c r="O3" t="s">
        <v>123</v>
      </c>
      <c r="P3" t="s">
        <v>148</v>
      </c>
      <c r="Q3" t="s">
        <v>154</v>
      </c>
      <c r="R3">
        <v>13</v>
      </c>
      <c r="S3">
        <v>8</v>
      </c>
    </row>
    <row r="4" spans="1:19" x14ac:dyDescent="0.3">
      <c r="A4" t="s">
        <v>155</v>
      </c>
      <c r="B4">
        <v>1</v>
      </c>
      <c r="C4" t="s">
        <v>148</v>
      </c>
      <c r="D4" t="s">
        <v>131</v>
      </c>
      <c r="E4" t="s">
        <v>128</v>
      </c>
      <c r="F4" t="s">
        <v>126</v>
      </c>
      <c r="G4" t="s">
        <v>152</v>
      </c>
      <c r="H4" t="s">
        <v>122</v>
      </c>
      <c r="I4" t="s">
        <v>129</v>
      </c>
      <c r="J4" t="s">
        <v>147</v>
      </c>
      <c r="K4" t="s">
        <v>126</v>
      </c>
      <c r="L4">
        <v>86</v>
      </c>
      <c r="M4">
        <v>2301</v>
      </c>
      <c r="N4" t="s">
        <v>156</v>
      </c>
      <c r="O4" t="s">
        <v>127</v>
      </c>
      <c r="P4" t="s">
        <v>131</v>
      </c>
      <c r="Q4" t="s">
        <v>157</v>
      </c>
    </row>
    <row r="5" spans="1:19" x14ac:dyDescent="0.3">
      <c r="A5" t="s">
        <v>158</v>
      </c>
      <c r="B5">
        <v>1</v>
      </c>
      <c r="C5" t="s">
        <v>148</v>
      </c>
      <c r="D5" t="s">
        <v>127</v>
      </c>
      <c r="E5" t="s">
        <v>128</v>
      </c>
      <c r="F5" t="s">
        <v>126</v>
      </c>
      <c r="G5" t="s">
        <v>133</v>
      </c>
      <c r="H5" t="s">
        <v>122</v>
      </c>
      <c r="I5" t="s">
        <v>159</v>
      </c>
      <c r="J5" t="s">
        <v>147</v>
      </c>
      <c r="K5" t="s">
        <v>128</v>
      </c>
      <c r="L5">
        <v>86</v>
      </c>
      <c r="M5">
        <v>2237</v>
      </c>
      <c r="N5" t="s">
        <v>160</v>
      </c>
      <c r="O5" t="s">
        <v>128</v>
      </c>
      <c r="P5" t="s">
        <v>125</v>
      </c>
      <c r="Q5" t="s">
        <v>157</v>
      </c>
      <c r="R5" t="s">
        <v>161</v>
      </c>
      <c r="S5">
        <v>83</v>
      </c>
    </row>
    <row r="6" spans="1:19" x14ac:dyDescent="0.3">
      <c r="A6" t="s">
        <v>162</v>
      </c>
      <c r="B6">
        <v>1</v>
      </c>
      <c r="C6" t="s">
        <v>148</v>
      </c>
      <c r="D6" t="s">
        <v>127</v>
      </c>
      <c r="E6" t="s">
        <v>128</v>
      </c>
      <c r="F6" t="s">
        <v>126</v>
      </c>
      <c r="G6" t="s">
        <v>152</v>
      </c>
      <c r="H6" t="s">
        <v>130</v>
      </c>
      <c r="I6" t="s">
        <v>159</v>
      </c>
      <c r="J6" t="s">
        <v>147</v>
      </c>
      <c r="K6" t="s">
        <v>126</v>
      </c>
      <c r="L6">
        <v>84</v>
      </c>
      <c r="M6">
        <v>2240</v>
      </c>
      <c r="N6" t="s">
        <v>163</v>
      </c>
      <c r="O6" t="s">
        <v>126</v>
      </c>
      <c r="P6" t="s">
        <v>132</v>
      </c>
      <c r="Q6" t="s">
        <v>164</v>
      </c>
      <c r="R6" t="s">
        <v>106</v>
      </c>
      <c r="S6">
        <v>71</v>
      </c>
    </row>
    <row r="7" spans="1:19" x14ac:dyDescent="0.3">
      <c r="A7" t="s">
        <v>165</v>
      </c>
      <c r="B7">
        <v>0</v>
      </c>
      <c r="C7" t="s">
        <v>84</v>
      </c>
      <c r="D7" t="s">
        <v>84</v>
      </c>
      <c r="E7" t="s">
        <v>84</v>
      </c>
      <c r="F7" t="s">
        <v>84</v>
      </c>
      <c r="G7" t="s">
        <v>84</v>
      </c>
      <c r="H7" t="s">
        <v>84</v>
      </c>
      <c r="I7" t="s">
        <v>84</v>
      </c>
      <c r="J7" t="s">
        <v>84</v>
      </c>
      <c r="K7" t="s">
        <v>84</v>
      </c>
      <c r="L7">
        <v>56</v>
      </c>
      <c r="M7">
        <v>1906</v>
      </c>
      <c r="N7" t="s">
        <v>166</v>
      </c>
      <c r="O7" t="s">
        <v>152</v>
      </c>
      <c r="P7" t="s">
        <v>133</v>
      </c>
      <c r="Q7" t="s">
        <v>164</v>
      </c>
      <c r="R7" t="s">
        <v>48</v>
      </c>
      <c r="S7">
        <v>70</v>
      </c>
    </row>
    <row r="8" spans="1:19" x14ac:dyDescent="0.3">
      <c r="A8" t="s">
        <v>167</v>
      </c>
      <c r="B8">
        <v>1</v>
      </c>
      <c r="C8" t="s">
        <v>148</v>
      </c>
      <c r="D8" t="s">
        <v>127</v>
      </c>
      <c r="E8" t="s">
        <v>128</v>
      </c>
      <c r="F8" t="s">
        <v>126</v>
      </c>
      <c r="G8" t="s">
        <v>152</v>
      </c>
      <c r="H8" t="s">
        <v>122</v>
      </c>
      <c r="I8" t="s">
        <v>159</v>
      </c>
      <c r="J8" t="s">
        <v>147</v>
      </c>
      <c r="K8" t="s">
        <v>127</v>
      </c>
      <c r="L8">
        <v>59</v>
      </c>
      <c r="M8">
        <v>2002</v>
      </c>
      <c r="N8" t="s">
        <v>168</v>
      </c>
      <c r="O8" t="s">
        <v>122</v>
      </c>
      <c r="P8" t="s">
        <v>130</v>
      </c>
      <c r="Q8" t="s">
        <v>164</v>
      </c>
    </row>
    <row r="9" spans="1:19" x14ac:dyDescent="0.3">
      <c r="A9" t="s">
        <v>169</v>
      </c>
      <c r="B9">
        <v>1</v>
      </c>
      <c r="C9" t="s">
        <v>148</v>
      </c>
      <c r="D9" t="s">
        <v>127</v>
      </c>
      <c r="E9" t="s">
        <v>128</v>
      </c>
      <c r="F9" t="s">
        <v>126</v>
      </c>
      <c r="G9" t="s">
        <v>152</v>
      </c>
      <c r="H9" t="s">
        <v>122</v>
      </c>
      <c r="I9" t="s">
        <v>159</v>
      </c>
      <c r="J9" t="s">
        <v>147</v>
      </c>
      <c r="K9" t="s">
        <v>126</v>
      </c>
      <c r="L9">
        <v>76</v>
      </c>
      <c r="M9">
        <v>2263</v>
      </c>
      <c r="N9" t="s">
        <v>170</v>
      </c>
      <c r="O9" t="s">
        <v>159</v>
      </c>
      <c r="P9" t="s">
        <v>129</v>
      </c>
      <c r="Q9" t="s">
        <v>171</v>
      </c>
    </row>
    <row r="10" spans="1:19" x14ac:dyDescent="0.3">
      <c r="A10" t="s">
        <v>172</v>
      </c>
      <c r="B10">
        <v>1</v>
      </c>
      <c r="C10" t="s">
        <v>148</v>
      </c>
      <c r="D10" t="s">
        <v>127</v>
      </c>
      <c r="E10" t="s">
        <v>128</v>
      </c>
      <c r="F10" t="s">
        <v>126</v>
      </c>
      <c r="G10" t="s">
        <v>152</v>
      </c>
      <c r="H10" t="s">
        <v>122</v>
      </c>
      <c r="I10" t="s">
        <v>159</v>
      </c>
      <c r="J10" t="s">
        <v>147</v>
      </c>
      <c r="K10" t="s">
        <v>126</v>
      </c>
      <c r="L10">
        <v>81</v>
      </c>
      <c r="M10">
        <v>2258</v>
      </c>
      <c r="N10" t="s">
        <v>173</v>
      </c>
      <c r="O10" t="s">
        <v>124</v>
      </c>
      <c r="P10" t="s">
        <v>147</v>
      </c>
      <c r="Q10" t="s">
        <v>171</v>
      </c>
    </row>
    <row r="11" spans="1:19" x14ac:dyDescent="0.3">
      <c r="A11" t="s">
        <v>174</v>
      </c>
      <c r="B11">
        <v>1</v>
      </c>
      <c r="C11" t="s">
        <v>148</v>
      </c>
      <c r="D11" t="s">
        <v>127</v>
      </c>
      <c r="E11" t="s">
        <v>128</v>
      </c>
      <c r="F11" t="s">
        <v>126</v>
      </c>
      <c r="G11" t="s">
        <v>152</v>
      </c>
      <c r="H11" t="s">
        <v>122</v>
      </c>
      <c r="I11" t="s">
        <v>159</v>
      </c>
      <c r="J11" t="s">
        <v>147</v>
      </c>
      <c r="K11" t="s">
        <v>126</v>
      </c>
      <c r="L11">
        <v>90</v>
      </c>
      <c r="M11">
        <v>2317</v>
      </c>
    </row>
    <row r="12" spans="1:19" x14ac:dyDescent="0.3">
      <c r="A12" t="s">
        <v>175</v>
      </c>
      <c r="B12">
        <v>1</v>
      </c>
      <c r="C12" t="s">
        <v>148</v>
      </c>
      <c r="D12" t="s">
        <v>127</v>
      </c>
      <c r="E12" t="s">
        <v>128</v>
      </c>
      <c r="F12" t="s">
        <v>126</v>
      </c>
      <c r="G12" t="s">
        <v>133</v>
      </c>
      <c r="H12" t="s">
        <v>122</v>
      </c>
      <c r="I12" t="s">
        <v>129</v>
      </c>
      <c r="J12" t="s">
        <v>147</v>
      </c>
      <c r="K12" t="s">
        <v>126</v>
      </c>
      <c r="L12">
        <v>74</v>
      </c>
      <c r="M12">
        <v>2249</v>
      </c>
    </row>
    <row r="13" spans="1:19" x14ac:dyDescent="0.3">
      <c r="A13" t="s">
        <v>176</v>
      </c>
      <c r="B13">
        <v>1</v>
      </c>
      <c r="C13" t="s">
        <v>123</v>
      </c>
      <c r="D13" t="s">
        <v>131</v>
      </c>
      <c r="E13" t="s">
        <v>128</v>
      </c>
      <c r="F13" t="s">
        <v>126</v>
      </c>
      <c r="G13" t="s">
        <v>152</v>
      </c>
      <c r="H13" t="s">
        <v>130</v>
      </c>
      <c r="I13" t="s">
        <v>159</v>
      </c>
      <c r="J13" t="s">
        <v>147</v>
      </c>
      <c r="K13" t="s">
        <v>126</v>
      </c>
      <c r="L13">
        <v>90</v>
      </c>
      <c r="M13">
        <v>2194</v>
      </c>
    </row>
    <row r="14" spans="1:19" x14ac:dyDescent="0.3">
      <c r="A14" t="s">
        <v>177</v>
      </c>
      <c r="B14">
        <v>1</v>
      </c>
      <c r="C14" t="s">
        <v>148</v>
      </c>
      <c r="D14" t="s">
        <v>127</v>
      </c>
      <c r="E14" t="s">
        <v>128</v>
      </c>
      <c r="F14" t="s">
        <v>126</v>
      </c>
      <c r="G14" t="s">
        <v>152</v>
      </c>
      <c r="H14" t="s">
        <v>122</v>
      </c>
      <c r="I14" t="s">
        <v>129</v>
      </c>
      <c r="J14" t="s">
        <v>147</v>
      </c>
      <c r="K14" t="s">
        <v>126</v>
      </c>
      <c r="L14">
        <v>69</v>
      </c>
      <c r="M14">
        <v>2174</v>
      </c>
    </row>
    <row r="15" spans="1:19" x14ac:dyDescent="0.3">
      <c r="A15" t="s">
        <v>178</v>
      </c>
      <c r="B15">
        <v>1</v>
      </c>
      <c r="C15" t="s">
        <v>148</v>
      </c>
      <c r="D15" t="s">
        <v>127</v>
      </c>
      <c r="E15" t="s">
        <v>128</v>
      </c>
      <c r="F15" t="s">
        <v>126</v>
      </c>
      <c r="G15" t="s">
        <v>133</v>
      </c>
      <c r="H15" t="s">
        <v>122</v>
      </c>
      <c r="I15" t="s">
        <v>159</v>
      </c>
      <c r="J15" t="s">
        <v>147</v>
      </c>
      <c r="K15" t="s">
        <v>126</v>
      </c>
      <c r="L15">
        <v>80</v>
      </c>
      <c r="M15">
        <v>2255</v>
      </c>
    </row>
    <row r="16" spans="1:19" x14ac:dyDescent="0.3">
      <c r="A16" t="s">
        <v>179</v>
      </c>
      <c r="B16">
        <v>1</v>
      </c>
      <c r="C16" t="s">
        <v>148</v>
      </c>
      <c r="D16" t="s">
        <v>127</v>
      </c>
      <c r="E16" t="s">
        <v>128</v>
      </c>
      <c r="F16" t="s">
        <v>126</v>
      </c>
      <c r="G16" t="s">
        <v>152</v>
      </c>
      <c r="H16" t="s">
        <v>130</v>
      </c>
      <c r="I16" t="s">
        <v>129</v>
      </c>
      <c r="J16" t="s">
        <v>147</v>
      </c>
      <c r="K16" t="s">
        <v>126</v>
      </c>
      <c r="L16">
        <v>74</v>
      </c>
      <c r="M16">
        <v>2214</v>
      </c>
    </row>
    <row r="17" spans="1:13" x14ac:dyDescent="0.3">
      <c r="A17" t="s">
        <v>180</v>
      </c>
      <c r="B17">
        <v>1</v>
      </c>
      <c r="C17" t="s">
        <v>123</v>
      </c>
      <c r="D17" t="s">
        <v>127</v>
      </c>
      <c r="E17" t="s">
        <v>128</v>
      </c>
      <c r="F17" t="s">
        <v>126</v>
      </c>
      <c r="G17" t="s">
        <v>152</v>
      </c>
      <c r="H17" t="s">
        <v>122</v>
      </c>
      <c r="I17" t="s">
        <v>129</v>
      </c>
      <c r="J17" t="s">
        <v>147</v>
      </c>
      <c r="K17" t="s">
        <v>128</v>
      </c>
      <c r="L17">
        <v>84</v>
      </c>
      <c r="M17">
        <v>2292</v>
      </c>
    </row>
    <row r="18" spans="1:13" x14ac:dyDescent="0.3">
      <c r="A18" t="s">
        <v>181</v>
      </c>
      <c r="B18">
        <v>1</v>
      </c>
      <c r="C18" t="s">
        <v>148</v>
      </c>
      <c r="D18" t="s">
        <v>131</v>
      </c>
      <c r="E18" t="s">
        <v>125</v>
      </c>
      <c r="F18" t="s">
        <v>126</v>
      </c>
      <c r="G18" t="s">
        <v>133</v>
      </c>
      <c r="H18" t="s">
        <v>122</v>
      </c>
      <c r="I18" t="s">
        <v>159</v>
      </c>
      <c r="J18" t="s">
        <v>147</v>
      </c>
      <c r="K18" t="s">
        <v>126</v>
      </c>
      <c r="L18">
        <v>70</v>
      </c>
      <c r="M18">
        <v>2026</v>
      </c>
    </row>
    <row r="19" spans="1:13" x14ac:dyDescent="0.3">
      <c r="A19" t="s">
        <v>182</v>
      </c>
      <c r="B19">
        <v>1</v>
      </c>
      <c r="C19" t="s">
        <v>148</v>
      </c>
      <c r="D19" t="s">
        <v>131</v>
      </c>
      <c r="E19" t="s">
        <v>128</v>
      </c>
      <c r="F19" t="s">
        <v>126</v>
      </c>
      <c r="G19" t="s">
        <v>133</v>
      </c>
      <c r="H19" t="s">
        <v>122</v>
      </c>
      <c r="I19" t="s">
        <v>129</v>
      </c>
      <c r="J19" t="s">
        <v>147</v>
      </c>
      <c r="K19" t="s">
        <v>126</v>
      </c>
      <c r="L19">
        <v>74</v>
      </c>
      <c r="M19">
        <v>2098</v>
      </c>
    </row>
    <row r="20" spans="1:13" x14ac:dyDescent="0.3">
      <c r="A20" t="s">
        <v>183</v>
      </c>
      <c r="B20">
        <v>1</v>
      </c>
      <c r="C20" t="s">
        <v>148</v>
      </c>
      <c r="D20" t="s">
        <v>127</v>
      </c>
      <c r="E20" t="s">
        <v>128</v>
      </c>
      <c r="F20" t="s">
        <v>126</v>
      </c>
      <c r="G20" t="s">
        <v>152</v>
      </c>
      <c r="H20" t="s">
        <v>122</v>
      </c>
      <c r="I20" t="s">
        <v>129</v>
      </c>
      <c r="J20" t="s">
        <v>147</v>
      </c>
      <c r="K20" t="s">
        <v>126</v>
      </c>
      <c r="L20">
        <v>91</v>
      </c>
      <c r="M20">
        <v>2314</v>
      </c>
    </row>
    <row r="21" spans="1:13" x14ac:dyDescent="0.3">
      <c r="A21" t="s">
        <v>184</v>
      </c>
      <c r="B21">
        <v>0</v>
      </c>
      <c r="C21" t="s">
        <v>84</v>
      </c>
      <c r="D21" t="s">
        <v>84</v>
      </c>
      <c r="E21" t="s">
        <v>84</v>
      </c>
      <c r="F21" t="s">
        <v>84</v>
      </c>
      <c r="G21" t="s">
        <v>84</v>
      </c>
      <c r="H21" t="s">
        <v>84</v>
      </c>
      <c r="I21" t="s">
        <v>84</v>
      </c>
      <c r="J21" t="s">
        <v>84</v>
      </c>
      <c r="K21" t="s">
        <v>84</v>
      </c>
      <c r="L21">
        <v>31</v>
      </c>
      <c r="M21">
        <v>1639</v>
      </c>
    </row>
    <row r="22" spans="1:13" x14ac:dyDescent="0.3">
      <c r="A22" t="s">
        <v>185</v>
      </c>
      <c r="B22">
        <v>1</v>
      </c>
      <c r="C22" t="s">
        <v>148</v>
      </c>
      <c r="D22" t="s">
        <v>127</v>
      </c>
      <c r="E22" t="s">
        <v>128</v>
      </c>
      <c r="F22" t="s">
        <v>126</v>
      </c>
      <c r="G22" t="s">
        <v>133</v>
      </c>
      <c r="H22" t="s">
        <v>122</v>
      </c>
      <c r="I22" t="s">
        <v>159</v>
      </c>
      <c r="J22" t="s">
        <v>147</v>
      </c>
      <c r="K22" t="s">
        <v>128</v>
      </c>
      <c r="L22">
        <v>76</v>
      </c>
      <c r="M22">
        <v>2185</v>
      </c>
    </row>
    <row r="23" spans="1:13" x14ac:dyDescent="0.3">
      <c r="A23" t="s">
        <v>186</v>
      </c>
      <c r="B23">
        <v>1</v>
      </c>
      <c r="C23" t="s">
        <v>148</v>
      </c>
      <c r="D23" t="s">
        <v>127</v>
      </c>
      <c r="E23" t="s">
        <v>128</v>
      </c>
      <c r="F23" t="s">
        <v>126</v>
      </c>
      <c r="G23" t="s">
        <v>152</v>
      </c>
      <c r="H23" t="s">
        <v>130</v>
      </c>
      <c r="I23" t="s">
        <v>129</v>
      </c>
      <c r="J23" t="s">
        <v>147</v>
      </c>
      <c r="K23" t="s">
        <v>126</v>
      </c>
      <c r="L23">
        <v>89</v>
      </c>
      <c r="M23">
        <v>2187</v>
      </c>
    </row>
    <row r="24" spans="1:13" x14ac:dyDescent="0.3">
      <c r="A24" t="s">
        <v>187</v>
      </c>
      <c r="B24">
        <v>1</v>
      </c>
      <c r="C24" t="s">
        <v>123</v>
      </c>
      <c r="D24" t="s">
        <v>127</v>
      </c>
      <c r="E24" t="s">
        <v>128</v>
      </c>
      <c r="F24" t="s">
        <v>126</v>
      </c>
      <c r="G24" t="s">
        <v>152</v>
      </c>
      <c r="H24" t="s">
        <v>122</v>
      </c>
      <c r="I24" t="s">
        <v>129</v>
      </c>
      <c r="J24" t="s">
        <v>124</v>
      </c>
      <c r="K24" t="s">
        <v>126</v>
      </c>
      <c r="L24">
        <v>87</v>
      </c>
      <c r="M24">
        <v>2163</v>
      </c>
    </row>
    <row r="25" spans="1:13" x14ac:dyDescent="0.3">
      <c r="A25" t="s">
        <v>188</v>
      </c>
      <c r="B25">
        <v>1</v>
      </c>
      <c r="C25" t="s">
        <v>123</v>
      </c>
      <c r="D25" t="s">
        <v>127</v>
      </c>
      <c r="E25" t="s">
        <v>128</v>
      </c>
      <c r="F25" t="s">
        <v>126</v>
      </c>
      <c r="G25" t="s">
        <v>152</v>
      </c>
      <c r="H25" t="s">
        <v>122</v>
      </c>
      <c r="I25" t="s">
        <v>159</v>
      </c>
      <c r="J25" t="s">
        <v>124</v>
      </c>
      <c r="K25" t="s">
        <v>126</v>
      </c>
      <c r="L25">
        <v>87</v>
      </c>
      <c r="M25">
        <v>2219</v>
      </c>
    </row>
    <row r="26" spans="1:13" x14ac:dyDescent="0.3">
      <c r="A26" t="s">
        <v>189</v>
      </c>
      <c r="B26">
        <v>0</v>
      </c>
      <c r="C26" t="s">
        <v>84</v>
      </c>
      <c r="D26" t="s">
        <v>84</v>
      </c>
      <c r="E26" t="s">
        <v>84</v>
      </c>
      <c r="F26" t="s">
        <v>84</v>
      </c>
      <c r="G26" t="s">
        <v>84</v>
      </c>
      <c r="H26" t="s">
        <v>84</v>
      </c>
      <c r="I26" t="s">
        <v>84</v>
      </c>
      <c r="J26" t="s">
        <v>84</v>
      </c>
      <c r="K26" t="s">
        <v>84</v>
      </c>
      <c r="L26">
        <v>23</v>
      </c>
      <c r="M26">
        <v>1575</v>
      </c>
    </row>
    <row r="27" spans="1:13" x14ac:dyDescent="0.3">
      <c r="A27" t="s">
        <v>190</v>
      </c>
      <c r="B27">
        <v>1</v>
      </c>
      <c r="C27" t="s">
        <v>148</v>
      </c>
      <c r="D27" t="s">
        <v>127</v>
      </c>
      <c r="E27" t="s">
        <v>128</v>
      </c>
      <c r="F27" t="s">
        <v>126</v>
      </c>
      <c r="G27" t="s">
        <v>152</v>
      </c>
      <c r="H27" t="s">
        <v>122</v>
      </c>
      <c r="I27" t="s">
        <v>159</v>
      </c>
      <c r="J27" t="s">
        <v>147</v>
      </c>
      <c r="K27" t="s">
        <v>126</v>
      </c>
      <c r="L27">
        <v>89</v>
      </c>
      <c r="M27">
        <v>2250</v>
      </c>
    </row>
    <row r="28" spans="1:13" x14ac:dyDescent="0.3">
      <c r="A28" t="s">
        <v>191</v>
      </c>
      <c r="B28">
        <v>1</v>
      </c>
      <c r="C28" t="s">
        <v>148</v>
      </c>
      <c r="D28" t="s">
        <v>131</v>
      </c>
      <c r="E28" t="s">
        <v>128</v>
      </c>
      <c r="F28" t="s">
        <v>126</v>
      </c>
      <c r="G28" t="s">
        <v>152</v>
      </c>
      <c r="H28" t="s">
        <v>122</v>
      </c>
      <c r="I28" t="s">
        <v>129</v>
      </c>
      <c r="J28" t="s">
        <v>147</v>
      </c>
      <c r="K28" t="s">
        <v>148</v>
      </c>
      <c r="L28">
        <v>71</v>
      </c>
      <c r="M28">
        <v>2128</v>
      </c>
    </row>
    <row r="29" spans="1:13" x14ac:dyDescent="0.3">
      <c r="A29" t="s">
        <v>192</v>
      </c>
      <c r="B29">
        <v>0</v>
      </c>
      <c r="C29" t="s">
        <v>84</v>
      </c>
      <c r="D29" t="s">
        <v>84</v>
      </c>
      <c r="E29" t="s">
        <v>84</v>
      </c>
      <c r="F29" t="s">
        <v>84</v>
      </c>
      <c r="G29" t="s">
        <v>84</v>
      </c>
      <c r="H29" t="s">
        <v>84</v>
      </c>
      <c r="I29" t="s">
        <v>84</v>
      </c>
      <c r="J29" t="s">
        <v>84</v>
      </c>
      <c r="K29" t="s">
        <v>84</v>
      </c>
      <c r="L29">
        <v>79</v>
      </c>
      <c r="M29">
        <v>2143</v>
      </c>
    </row>
    <row r="30" spans="1:13" x14ac:dyDescent="0.3">
      <c r="A30" t="s">
        <v>193</v>
      </c>
      <c r="B30">
        <v>1</v>
      </c>
      <c r="C30" t="s">
        <v>148</v>
      </c>
      <c r="D30" t="s">
        <v>127</v>
      </c>
      <c r="E30" t="s">
        <v>128</v>
      </c>
      <c r="F30" t="s">
        <v>126</v>
      </c>
      <c r="G30" t="s">
        <v>152</v>
      </c>
      <c r="H30" t="s">
        <v>122</v>
      </c>
      <c r="I30" t="s">
        <v>159</v>
      </c>
      <c r="J30" t="s">
        <v>124</v>
      </c>
      <c r="K30" t="s">
        <v>126</v>
      </c>
      <c r="L30">
        <v>82</v>
      </c>
      <c r="M30">
        <v>2294</v>
      </c>
    </row>
    <row r="31" spans="1:13" x14ac:dyDescent="0.3">
      <c r="A31" t="s">
        <v>194</v>
      </c>
      <c r="B31">
        <v>1</v>
      </c>
      <c r="C31" t="s">
        <v>148</v>
      </c>
      <c r="D31" t="s">
        <v>131</v>
      </c>
      <c r="E31" t="s">
        <v>128</v>
      </c>
      <c r="F31" t="s">
        <v>126</v>
      </c>
      <c r="G31" t="s">
        <v>133</v>
      </c>
      <c r="H31" t="s">
        <v>130</v>
      </c>
      <c r="I31" t="s">
        <v>159</v>
      </c>
      <c r="J31" t="s">
        <v>147</v>
      </c>
      <c r="K31" t="s">
        <v>148</v>
      </c>
      <c r="L31">
        <v>68</v>
      </c>
      <c r="M31">
        <v>2151</v>
      </c>
    </row>
    <row r="32" spans="1:13" x14ac:dyDescent="0.3">
      <c r="A32" t="s">
        <v>195</v>
      </c>
      <c r="B32">
        <v>1</v>
      </c>
      <c r="C32" t="s">
        <v>148</v>
      </c>
      <c r="D32" t="s">
        <v>127</v>
      </c>
      <c r="E32" t="s">
        <v>128</v>
      </c>
      <c r="F32" t="s">
        <v>126</v>
      </c>
      <c r="G32" t="s">
        <v>152</v>
      </c>
      <c r="H32" t="s">
        <v>122</v>
      </c>
      <c r="I32" t="s">
        <v>129</v>
      </c>
      <c r="J32" t="s">
        <v>147</v>
      </c>
      <c r="K32" t="s">
        <v>127</v>
      </c>
      <c r="L32">
        <v>83</v>
      </c>
      <c r="M32">
        <v>2207</v>
      </c>
    </row>
    <row r="33" spans="1:13" x14ac:dyDescent="0.3">
      <c r="A33" t="s">
        <v>138</v>
      </c>
      <c r="B33">
        <v>1</v>
      </c>
      <c r="C33" t="s">
        <v>148</v>
      </c>
      <c r="D33" t="s">
        <v>127</v>
      </c>
      <c r="E33" t="s">
        <v>128</v>
      </c>
      <c r="F33" t="s">
        <v>126</v>
      </c>
      <c r="G33" t="s">
        <v>152</v>
      </c>
      <c r="H33" t="s">
        <v>122</v>
      </c>
      <c r="I33" t="s">
        <v>159</v>
      </c>
      <c r="J33" t="s">
        <v>147</v>
      </c>
      <c r="K33" t="s">
        <v>126</v>
      </c>
      <c r="L33">
        <v>85</v>
      </c>
      <c r="M33">
        <v>2266</v>
      </c>
    </row>
    <row r="34" spans="1:13" x14ac:dyDescent="0.3">
      <c r="A34" t="s">
        <v>196</v>
      </c>
      <c r="B34">
        <v>1</v>
      </c>
      <c r="C34" t="s">
        <v>148</v>
      </c>
      <c r="D34" t="s">
        <v>127</v>
      </c>
      <c r="E34" t="s">
        <v>128</v>
      </c>
      <c r="F34" t="s">
        <v>126</v>
      </c>
      <c r="G34" t="s">
        <v>152</v>
      </c>
      <c r="H34" t="s">
        <v>130</v>
      </c>
      <c r="I34" t="s">
        <v>159</v>
      </c>
      <c r="J34" t="s">
        <v>147</v>
      </c>
      <c r="K34" t="s">
        <v>126</v>
      </c>
      <c r="L34">
        <v>76</v>
      </c>
      <c r="M34">
        <v>2203</v>
      </c>
    </row>
    <row r="35" spans="1:13" x14ac:dyDescent="0.3">
      <c r="A35" t="s">
        <v>197</v>
      </c>
      <c r="B35">
        <v>1</v>
      </c>
      <c r="C35" t="s">
        <v>123</v>
      </c>
      <c r="D35" t="s">
        <v>127</v>
      </c>
      <c r="E35" t="s">
        <v>128</v>
      </c>
      <c r="F35" t="s">
        <v>126</v>
      </c>
      <c r="G35" t="s">
        <v>133</v>
      </c>
      <c r="H35" t="s">
        <v>122</v>
      </c>
      <c r="I35" t="s">
        <v>129</v>
      </c>
      <c r="J35" t="s">
        <v>147</v>
      </c>
      <c r="K35" t="s">
        <v>126</v>
      </c>
      <c r="L35">
        <v>83</v>
      </c>
      <c r="M35">
        <v>2214</v>
      </c>
    </row>
    <row r="36" spans="1:13" x14ac:dyDescent="0.3">
      <c r="A36" t="s">
        <v>198</v>
      </c>
      <c r="B36">
        <v>1</v>
      </c>
      <c r="C36" t="s">
        <v>148</v>
      </c>
      <c r="D36" t="s">
        <v>127</v>
      </c>
      <c r="E36" t="s">
        <v>128</v>
      </c>
      <c r="F36" t="s">
        <v>126</v>
      </c>
      <c r="G36" t="s">
        <v>152</v>
      </c>
      <c r="H36" t="s">
        <v>122</v>
      </c>
      <c r="I36" t="s">
        <v>159</v>
      </c>
      <c r="J36" t="s">
        <v>124</v>
      </c>
      <c r="K36" t="s">
        <v>126</v>
      </c>
      <c r="L36">
        <v>81</v>
      </c>
      <c r="M36">
        <v>2131</v>
      </c>
    </row>
    <row r="37" spans="1:13" x14ac:dyDescent="0.3">
      <c r="A37" t="s">
        <v>199</v>
      </c>
      <c r="B37">
        <v>1</v>
      </c>
      <c r="C37" t="s">
        <v>148</v>
      </c>
      <c r="D37" t="s">
        <v>127</v>
      </c>
      <c r="E37" t="s">
        <v>128</v>
      </c>
      <c r="F37" t="s">
        <v>126</v>
      </c>
      <c r="G37" t="s">
        <v>152</v>
      </c>
      <c r="H37" t="s">
        <v>122</v>
      </c>
      <c r="I37" t="s">
        <v>129</v>
      </c>
      <c r="J37" t="s">
        <v>147</v>
      </c>
      <c r="K37" t="s">
        <v>126</v>
      </c>
      <c r="L37">
        <v>91</v>
      </c>
      <c r="M37">
        <v>2241</v>
      </c>
    </row>
    <row r="38" spans="1:13" x14ac:dyDescent="0.3">
      <c r="A38" t="s">
        <v>200</v>
      </c>
      <c r="B38">
        <v>1</v>
      </c>
      <c r="C38" t="s">
        <v>148</v>
      </c>
      <c r="D38" t="s">
        <v>127</v>
      </c>
      <c r="E38" t="s">
        <v>128</v>
      </c>
      <c r="F38" t="s">
        <v>126</v>
      </c>
      <c r="G38" t="s">
        <v>133</v>
      </c>
      <c r="H38" t="s">
        <v>122</v>
      </c>
      <c r="I38" t="s">
        <v>129</v>
      </c>
      <c r="J38" t="s">
        <v>147</v>
      </c>
      <c r="K38" t="s">
        <v>126</v>
      </c>
      <c r="L38">
        <v>97</v>
      </c>
      <c r="M38">
        <v>2393</v>
      </c>
    </row>
    <row r="39" spans="1:13" x14ac:dyDescent="0.3">
      <c r="A39" t="s">
        <v>201</v>
      </c>
      <c r="B39">
        <v>1</v>
      </c>
      <c r="C39" t="s">
        <v>148</v>
      </c>
      <c r="D39" t="s">
        <v>127</v>
      </c>
      <c r="E39" t="s">
        <v>128</v>
      </c>
      <c r="F39" t="s">
        <v>126</v>
      </c>
      <c r="G39" t="s">
        <v>152</v>
      </c>
      <c r="H39" t="s">
        <v>130</v>
      </c>
      <c r="I39" t="s">
        <v>159</v>
      </c>
      <c r="J39" t="s">
        <v>147</v>
      </c>
      <c r="K39" t="s">
        <v>126</v>
      </c>
      <c r="L39">
        <v>90</v>
      </c>
      <c r="M39">
        <v>2332</v>
      </c>
    </row>
    <row r="40" spans="1:13" x14ac:dyDescent="0.3">
      <c r="A40" t="s">
        <v>202</v>
      </c>
      <c r="B40">
        <v>1</v>
      </c>
      <c r="C40" t="s">
        <v>148</v>
      </c>
      <c r="D40" t="s">
        <v>127</v>
      </c>
      <c r="E40" t="s">
        <v>128</v>
      </c>
      <c r="F40" t="s">
        <v>126</v>
      </c>
      <c r="G40" t="s">
        <v>152</v>
      </c>
      <c r="H40" t="s">
        <v>122</v>
      </c>
      <c r="I40" t="s">
        <v>129</v>
      </c>
      <c r="J40" t="s">
        <v>147</v>
      </c>
      <c r="K40" t="s">
        <v>126</v>
      </c>
      <c r="L40">
        <v>88</v>
      </c>
      <c r="M40">
        <v>2307</v>
      </c>
    </row>
    <row r="41" spans="1:13" x14ac:dyDescent="0.3">
      <c r="A41" t="s">
        <v>203</v>
      </c>
      <c r="B41">
        <v>1</v>
      </c>
      <c r="C41" t="s">
        <v>148</v>
      </c>
      <c r="D41" t="s">
        <v>127</v>
      </c>
      <c r="E41" t="s">
        <v>125</v>
      </c>
      <c r="F41" t="s">
        <v>126</v>
      </c>
      <c r="G41" t="s">
        <v>133</v>
      </c>
      <c r="H41" t="s">
        <v>122</v>
      </c>
      <c r="I41" t="s">
        <v>159</v>
      </c>
      <c r="J41" t="s">
        <v>124</v>
      </c>
      <c r="K41" t="s">
        <v>126</v>
      </c>
      <c r="L41">
        <v>57</v>
      </c>
      <c r="M41">
        <v>1769</v>
      </c>
    </row>
    <row r="42" spans="1:13" x14ac:dyDescent="0.3">
      <c r="A42" t="s">
        <v>204</v>
      </c>
      <c r="B42">
        <v>1</v>
      </c>
      <c r="C42" t="s">
        <v>148</v>
      </c>
      <c r="D42" t="s">
        <v>127</v>
      </c>
      <c r="E42" t="s">
        <v>128</v>
      </c>
      <c r="F42" t="s">
        <v>126</v>
      </c>
      <c r="G42" t="s">
        <v>133</v>
      </c>
      <c r="H42" t="s">
        <v>122</v>
      </c>
      <c r="I42" t="s">
        <v>159</v>
      </c>
      <c r="J42" t="s">
        <v>147</v>
      </c>
      <c r="K42" t="s">
        <v>128</v>
      </c>
      <c r="L42">
        <v>61</v>
      </c>
      <c r="M42">
        <v>2054</v>
      </c>
    </row>
    <row r="43" spans="1:13" x14ac:dyDescent="0.3">
      <c r="A43" t="s">
        <v>205</v>
      </c>
      <c r="B43">
        <v>1</v>
      </c>
      <c r="C43" t="s">
        <v>148</v>
      </c>
      <c r="D43" t="s">
        <v>127</v>
      </c>
      <c r="E43" t="s">
        <v>128</v>
      </c>
      <c r="F43" t="s">
        <v>126</v>
      </c>
      <c r="G43" t="s">
        <v>152</v>
      </c>
      <c r="H43" t="s">
        <v>122</v>
      </c>
      <c r="I43" t="s">
        <v>129</v>
      </c>
      <c r="J43" t="s">
        <v>147</v>
      </c>
      <c r="K43" t="s">
        <v>126</v>
      </c>
      <c r="L43">
        <v>92</v>
      </c>
      <c r="M43">
        <v>2297</v>
      </c>
    </row>
    <row r="44" spans="1:13" x14ac:dyDescent="0.3">
      <c r="A44" t="s">
        <v>206</v>
      </c>
      <c r="B44">
        <v>1</v>
      </c>
      <c r="C44" t="s">
        <v>148</v>
      </c>
      <c r="D44" t="s">
        <v>127</v>
      </c>
      <c r="E44" t="s">
        <v>128</v>
      </c>
      <c r="F44" t="s">
        <v>126</v>
      </c>
      <c r="G44" t="s">
        <v>152</v>
      </c>
      <c r="H44" t="s">
        <v>122</v>
      </c>
      <c r="I44" t="s">
        <v>159</v>
      </c>
      <c r="J44" t="s">
        <v>147</v>
      </c>
      <c r="K44" t="s">
        <v>126</v>
      </c>
      <c r="L44">
        <v>75</v>
      </c>
      <c r="M44">
        <v>2201</v>
      </c>
    </row>
    <row r="45" spans="1:13" x14ac:dyDescent="0.3">
      <c r="A45" t="s">
        <v>207</v>
      </c>
      <c r="B45">
        <v>0</v>
      </c>
      <c r="C45" t="s">
        <v>84</v>
      </c>
      <c r="D45" t="s">
        <v>84</v>
      </c>
      <c r="E45" t="s">
        <v>84</v>
      </c>
      <c r="F45" t="s">
        <v>84</v>
      </c>
      <c r="G45" t="s">
        <v>84</v>
      </c>
      <c r="H45" t="s">
        <v>84</v>
      </c>
      <c r="I45" t="s">
        <v>84</v>
      </c>
      <c r="J45" t="s">
        <v>84</v>
      </c>
      <c r="K45" t="s">
        <v>84</v>
      </c>
      <c r="L45">
        <v>28</v>
      </c>
      <c r="M45">
        <v>1670</v>
      </c>
    </row>
    <row r="46" spans="1:13" x14ac:dyDescent="0.3">
      <c r="A46" t="s">
        <v>208</v>
      </c>
      <c r="B46">
        <v>1</v>
      </c>
      <c r="C46" t="s">
        <v>148</v>
      </c>
      <c r="D46" t="s">
        <v>127</v>
      </c>
      <c r="E46" t="s">
        <v>128</v>
      </c>
      <c r="F46" t="s">
        <v>126</v>
      </c>
      <c r="G46" t="s">
        <v>133</v>
      </c>
      <c r="H46" t="s">
        <v>122</v>
      </c>
      <c r="I46" t="s">
        <v>159</v>
      </c>
      <c r="J46" t="s">
        <v>147</v>
      </c>
      <c r="K46" t="s">
        <v>126</v>
      </c>
      <c r="L46">
        <v>56</v>
      </c>
      <c r="M46">
        <v>1941</v>
      </c>
    </row>
    <row r="47" spans="1:13" x14ac:dyDescent="0.3">
      <c r="A47" t="s">
        <v>209</v>
      </c>
      <c r="B47">
        <v>1</v>
      </c>
      <c r="C47" t="s">
        <v>148</v>
      </c>
      <c r="D47" t="s">
        <v>127</v>
      </c>
      <c r="E47" t="s">
        <v>128</v>
      </c>
      <c r="F47" t="s">
        <v>126</v>
      </c>
      <c r="G47" t="s">
        <v>152</v>
      </c>
      <c r="H47" t="s">
        <v>122</v>
      </c>
      <c r="I47" t="s">
        <v>159</v>
      </c>
      <c r="J47" t="s">
        <v>147</v>
      </c>
      <c r="K47" t="s">
        <v>126</v>
      </c>
      <c r="L47">
        <v>71</v>
      </c>
      <c r="M47">
        <v>2114</v>
      </c>
    </row>
    <row r="48" spans="1:13" x14ac:dyDescent="0.3">
      <c r="A48" t="s">
        <v>210</v>
      </c>
      <c r="B48">
        <v>1</v>
      </c>
      <c r="C48" t="s">
        <v>148</v>
      </c>
      <c r="D48" t="s">
        <v>127</v>
      </c>
      <c r="E48" t="s">
        <v>128</v>
      </c>
      <c r="F48" t="s">
        <v>126</v>
      </c>
      <c r="G48" t="s">
        <v>152</v>
      </c>
      <c r="H48" t="s">
        <v>122</v>
      </c>
      <c r="I48" t="s">
        <v>159</v>
      </c>
      <c r="J48" t="s">
        <v>147</v>
      </c>
      <c r="K48" t="s">
        <v>148</v>
      </c>
      <c r="L48">
        <v>88</v>
      </c>
      <c r="M48">
        <v>2309</v>
      </c>
    </row>
    <row r="49" spans="1:13" x14ac:dyDescent="0.3">
      <c r="A49" t="s">
        <v>211</v>
      </c>
      <c r="B49">
        <v>1</v>
      </c>
      <c r="C49" t="s">
        <v>148</v>
      </c>
      <c r="D49" t="s">
        <v>127</v>
      </c>
      <c r="E49" t="s">
        <v>128</v>
      </c>
      <c r="F49" t="s">
        <v>126</v>
      </c>
      <c r="G49" t="s">
        <v>152</v>
      </c>
      <c r="H49" t="s">
        <v>122</v>
      </c>
      <c r="I49" t="s">
        <v>129</v>
      </c>
      <c r="J49" t="s">
        <v>147</v>
      </c>
      <c r="K49" t="s">
        <v>148</v>
      </c>
      <c r="L49">
        <v>87</v>
      </c>
      <c r="M49">
        <v>2286</v>
      </c>
    </row>
    <row r="50" spans="1:13" x14ac:dyDescent="0.3">
      <c r="A50" t="s">
        <v>212</v>
      </c>
      <c r="B50">
        <v>1</v>
      </c>
      <c r="C50" t="s">
        <v>148</v>
      </c>
      <c r="D50" t="s">
        <v>127</v>
      </c>
      <c r="E50" t="s">
        <v>128</v>
      </c>
      <c r="F50" t="s">
        <v>126</v>
      </c>
      <c r="G50" t="s">
        <v>152</v>
      </c>
      <c r="H50" t="s">
        <v>122</v>
      </c>
      <c r="I50" t="s">
        <v>129</v>
      </c>
      <c r="J50" t="s">
        <v>147</v>
      </c>
      <c r="K50" t="s">
        <v>126</v>
      </c>
      <c r="L50">
        <v>87</v>
      </c>
      <c r="M50">
        <v>2247</v>
      </c>
    </row>
    <row r="51" spans="1:13" x14ac:dyDescent="0.3">
      <c r="A51" t="s">
        <v>213</v>
      </c>
      <c r="B51">
        <v>1</v>
      </c>
      <c r="C51" t="s">
        <v>148</v>
      </c>
      <c r="D51" t="s">
        <v>127</v>
      </c>
      <c r="E51" t="s">
        <v>128</v>
      </c>
      <c r="F51" t="s">
        <v>126</v>
      </c>
      <c r="G51" t="s">
        <v>152</v>
      </c>
      <c r="H51" t="s">
        <v>122</v>
      </c>
      <c r="I51" t="s">
        <v>129</v>
      </c>
      <c r="J51" t="s">
        <v>147</v>
      </c>
      <c r="K51" t="s">
        <v>126</v>
      </c>
      <c r="L51">
        <v>90</v>
      </c>
      <c r="M51">
        <v>2289</v>
      </c>
    </row>
    <row r="52" spans="1:13" x14ac:dyDescent="0.3">
      <c r="A52" t="s">
        <v>214</v>
      </c>
      <c r="B52">
        <v>1</v>
      </c>
      <c r="C52" t="s">
        <v>123</v>
      </c>
      <c r="D52" t="s">
        <v>127</v>
      </c>
      <c r="E52" t="s">
        <v>128</v>
      </c>
      <c r="F52" t="s">
        <v>126</v>
      </c>
      <c r="G52" t="s">
        <v>152</v>
      </c>
      <c r="H52" t="s">
        <v>122</v>
      </c>
      <c r="I52" t="s">
        <v>129</v>
      </c>
      <c r="J52" t="s">
        <v>147</v>
      </c>
      <c r="K52" t="s">
        <v>127</v>
      </c>
      <c r="L52">
        <v>87</v>
      </c>
      <c r="M52">
        <v>2269</v>
      </c>
    </row>
    <row r="53" spans="1:13" x14ac:dyDescent="0.3">
      <c r="A53" t="s">
        <v>215</v>
      </c>
      <c r="B53">
        <v>1</v>
      </c>
      <c r="C53" t="s">
        <v>148</v>
      </c>
      <c r="D53" t="s">
        <v>127</v>
      </c>
      <c r="E53" t="s">
        <v>128</v>
      </c>
      <c r="F53" t="s">
        <v>126</v>
      </c>
      <c r="G53" t="s">
        <v>152</v>
      </c>
      <c r="H53" t="s">
        <v>122</v>
      </c>
      <c r="I53" t="s">
        <v>129</v>
      </c>
      <c r="J53" t="s">
        <v>147</v>
      </c>
      <c r="K53" t="s">
        <v>148</v>
      </c>
      <c r="L53">
        <v>84</v>
      </c>
      <c r="M53">
        <v>2304</v>
      </c>
    </row>
    <row r="54" spans="1:13" x14ac:dyDescent="0.3">
      <c r="A54" t="s">
        <v>216</v>
      </c>
      <c r="B54">
        <v>0</v>
      </c>
      <c r="C54" t="s">
        <v>84</v>
      </c>
      <c r="D54" t="s">
        <v>84</v>
      </c>
      <c r="E54" t="s">
        <v>84</v>
      </c>
      <c r="F54" t="s">
        <v>84</v>
      </c>
      <c r="G54" t="s">
        <v>84</v>
      </c>
      <c r="H54" t="s">
        <v>84</v>
      </c>
      <c r="I54" t="s">
        <v>84</v>
      </c>
      <c r="J54" t="s">
        <v>84</v>
      </c>
      <c r="K54" t="s">
        <v>84</v>
      </c>
      <c r="L54">
        <v>48</v>
      </c>
      <c r="M54">
        <v>1846</v>
      </c>
    </row>
    <row r="55" spans="1:13" x14ac:dyDescent="0.3">
      <c r="A55" t="s">
        <v>217</v>
      </c>
      <c r="B55">
        <v>1</v>
      </c>
      <c r="C55" t="s">
        <v>148</v>
      </c>
      <c r="D55" t="s">
        <v>127</v>
      </c>
      <c r="E55" t="s">
        <v>128</v>
      </c>
      <c r="F55" t="s">
        <v>126</v>
      </c>
      <c r="G55" t="s">
        <v>152</v>
      </c>
      <c r="H55" t="s">
        <v>122</v>
      </c>
      <c r="I55" t="s">
        <v>159</v>
      </c>
      <c r="J55" t="s">
        <v>147</v>
      </c>
      <c r="K55" t="s">
        <v>126</v>
      </c>
      <c r="L55">
        <v>92</v>
      </c>
      <c r="M55">
        <v>2369</v>
      </c>
    </row>
    <row r="56" spans="1:13" x14ac:dyDescent="0.3">
      <c r="A56" t="s">
        <v>218</v>
      </c>
      <c r="B56">
        <v>1</v>
      </c>
      <c r="C56" t="s">
        <v>148</v>
      </c>
      <c r="D56" t="s">
        <v>127</v>
      </c>
      <c r="E56" t="s">
        <v>128</v>
      </c>
      <c r="F56" t="s">
        <v>126</v>
      </c>
      <c r="G56" t="s">
        <v>152</v>
      </c>
      <c r="H56" t="s">
        <v>122</v>
      </c>
      <c r="I56" t="s">
        <v>159</v>
      </c>
      <c r="J56" t="s">
        <v>147</v>
      </c>
      <c r="K56" t="s">
        <v>126</v>
      </c>
      <c r="L56">
        <v>73</v>
      </c>
      <c r="M56">
        <v>2183</v>
      </c>
    </row>
    <row r="57" spans="1:13" x14ac:dyDescent="0.3">
      <c r="A57" t="s">
        <v>219</v>
      </c>
      <c r="B57">
        <v>1</v>
      </c>
      <c r="C57" t="s">
        <v>148</v>
      </c>
      <c r="D57" t="s">
        <v>127</v>
      </c>
      <c r="E57" t="s">
        <v>128</v>
      </c>
      <c r="F57" t="s">
        <v>126</v>
      </c>
      <c r="G57" t="s">
        <v>152</v>
      </c>
      <c r="H57" t="s">
        <v>122</v>
      </c>
      <c r="I57" t="s">
        <v>159</v>
      </c>
      <c r="J57" t="s">
        <v>147</v>
      </c>
      <c r="K57" t="s">
        <v>126</v>
      </c>
      <c r="L57">
        <v>83</v>
      </c>
      <c r="M57">
        <v>2293</v>
      </c>
    </row>
    <row r="58" spans="1:13" x14ac:dyDescent="0.3">
      <c r="A58" t="s">
        <v>220</v>
      </c>
      <c r="B58">
        <v>1</v>
      </c>
      <c r="C58" t="s">
        <v>123</v>
      </c>
      <c r="D58" t="s">
        <v>127</v>
      </c>
      <c r="E58" t="s">
        <v>128</v>
      </c>
      <c r="F58" t="s">
        <v>126</v>
      </c>
      <c r="G58" t="s">
        <v>152</v>
      </c>
      <c r="H58" t="s">
        <v>122</v>
      </c>
      <c r="I58" t="s">
        <v>129</v>
      </c>
      <c r="J58" t="s">
        <v>147</v>
      </c>
      <c r="K58" t="s">
        <v>126</v>
      </c>
      <c r="L58">
        <v>68</v>
      </c>
      <c r="M58">
        <v>2114</v>
      </c>
    </row>
    <row r="59" spans="1:13" x14ac:dyDescent="0.3">
      <c r="A59" t="s">
        <v>221</v>
      </c>
      <c r="B59">
        <v>1</v>
      </c>
      <c r="C59" t="s">
        <v>148</v>
      </c>
      <c r="D59" t="s">
        <v>127</v>
      </c>
      <c r="E59" t="s">
        <v>128</v>
      </c>
      <c r="F59" t="s">
        <v>126</v>
      </c>
      <c r="G59" t="s">
        <v>152</v>
      </c>
      <c r="H59" t="s">
        <v>122</v>
      </c>
      <c r="I59" t="s">
        <v>159</v>
      </c>
      <c r="J59" t="s">
        <v>147</v>
      </c>
      <c r="K59" t="s">
        <v>127</v>
      </c>
      <c r="L59">
        <v>92</v>
      </c>
      <c r="M59">
        <v>2324</v>
      </c>
    </row>
    <row r="60" spans="1:13" x14ac:dyDescent="0.3">
      <c r="A60" t="s">
        <v>222</v>
      </c>
      <c r="B60">
        <v>1</v>
      </c>
      <c r="C60" t="s">
        <v>148</v>
      </c>
      <c r="D60" t="s">
        <v>127</v>
      </c>
      <c r="E60" t="s">
        <v>128</v>
      </c>
      <c r="F60" t="s">
        <v>126</v>
      </c>
      <c r="G60" t="s">
        <v>152</v>
      </c>
      <c r="H60" t="s">
        <v>122</v>
      </c>
      <c r="I60" t="s">
        <v>129</v>
      </c>
      <c r="J60" t="s">
        <v>147</v>
      </c>
      <c r="K60" t="s">
        <v>126</v>
      </c>
      <c r="L60">
        <v>83</v>
      </c>
      <c r="M60">
        <v>2237</v>
      </c>
    </row>
    <row r="61" spans="1:13" x14ac:dyDescent="0.3">
      <c r="A61" t="s">
        <v>223</v>
      </c>
      <c r="B61">
        <v>1</v>
      </c>
      <c r="C61" t="s">
        <v>123</v>
      </c>
      <c r="D61" t="s">
        <v>127</v>
      </c>
      <c r="E61" t="s">
        <v>128</v>
      </c>
      <c r="F61" t="s">
        <v>126</v>
      </c>
      <c r="G61" t="s">
        <v>152</v>
      </c>
      <c r="H61" t="s">
        <v>122</v>
      </c>
      <c r="I61" t="s">
        <v>129</v>
      </c>
      <c r="J61" t="s">
        <v>147</v>
      </c>
      <c r="K61" t="s">
        <v>126</v>
      </c>
      <c r="L61">
        <v>85</v>
      </c>
      <c r="M61">
        <v>2293</v>
      </c>
    </row>
    <row r="62" spans="1:13" x14ac:dyDescent="0.3">
      <c r="A62" t="s">
        <v>224</v>
      </c>
      <c r="B62">
        <v>1</v>
      </c>
      <c r="C62" t="s">
        <v>148</v>
      </c>
      <c r="D62" t="s">
        <v>127</v>
      </c>
      <c r="E62" t="s">
        <v>128</v>
      </c>
      <c r="F62" t="s">
        <v>126</v>
      </c>
      <c r="G62" t="s">
        <v>133</v>
      </c>
      <c r="H62" t="s">
        <v>122</v>
      </c>
      <c r="I62" t="s">
        <v>129</v>
      </c>
      <c r="J62" t="s">
        <v>124</v>
      </c>
      <c r="K62" t="s">
        <v>126</v>
      </c>
      <c r="L62">
        <v>85</v>
      </c>
      <c r="M62">
        <v>2238</v>
      </c>
    </row>
    <row r="63" spans="1:13" x14ac:dyDescent="0.3">
      <c r="A63" t="s">
        <v>145</v>
      </c>
      <c r="B63">
        <v>1</v>
      </c>
      <c r="C63" t="s">
        <v>148</v>
      </c>
      <c r="D63" t="s">
        <v>127</v>
      </c>
      <c r="E63" t="s">
        <v>128</v>
      </c>
      <c r="F63" t="s">
        <v>126</v>
      </c>
      <c r="G63" t="s">
        <v>152</v>
      </c>
      <c r="H63" t="s">
        <v>122</v>
      </c>
      <c r="I63" t="s">
        <v>159</v>
      </c>
      <c r="J63" t="s">
        <v>147</v>
      </c>
      <c r="K63" t="s">
        <v>127</v>
      </c>
      <c r="L63">
        <v>89</v>
      </c>
      <c r="M63">
        <v>2262</v>
      </c>
    </row>
    <row r="64" spans="1:13" x14ac:dyDescent="0.3">
      <c r="A64" t="s">
        <v>225</v>
      </c>
      <c r="B64">
        <v>1</v>
      </c>
      <c r="C64" t="s">
        <v>148</v>
      </c>
      <c r="D64" t="s">
        <v>127</v>
      </c>
      <c r="E64" t="s">
        <v>128</v>
      </c>
      <c r="F64" t="s">
        <v>126</v>
      </c>
      <c r="G64" t="s">
        <v>152</v>
      </c>
      <c r="H64" t="s">
        <v>122</v>
      </c>
      <c r="I64" t="s">
        <v>159</v>
      </c>
      <c r="J64" t="s">
        <v>147</v>
      </c>
      <c r="K64" t="s">
        <v>126</v>
      </c>
      <c r="L64">
        <v>86</v>
      </c>
      <c r="M64">
        <v>2310</v>
      </c>
    </row>
    <row r="65" spans="1:13" x14ac:dyDescent="0.3">
      <c r="A65" t="s">
        <v>226</v>
      </c>
      <c r="B65">
        <v>1</v>
      </c>
      <c r="C65" t="s">
        <v>148</v>
      </c>
      <c r="D65" t="s">
        <v>127</v>
      </c>
      <c r="E65" t="s">
        <v>128</v>
      </c>
      <c r="F65" t="s">
        <v>126</v>
      </c>
      <c r="G65" t="s">
        <v>152</v>
      </c>
      <c r="H65" t="s">
        <v>122</v>
      </c>
      <c r="I65" t="s">
        <v>129</v>
      </c>
      <c r="J65" t="s">
        <v>147</v>
      </c>
      <c r="K65" t="s">
        <v>126</v>
      </c>
      <c r="L65">
        <v>71</v>
      </c>
      <c r="M65">
        <v>2271</v>
      </c>
    </row>
    <row r="66" spans="1:13" x14ac:dyDescent="0.3">
      <c r="A66" t="s">
        <v>227</v>
      </c>
      <c r="B66">
        <v>1</v>
      </c>
      <c r="C66" t="s">
        <v>148</v>
      </c>
      <c r="D66" t="s">
        <v>127</v>
      </c>
      <c r="E66" t="s">
        <v>128</v>
      </c>
      <c r="F66" t="s">
        <v>126</v>
      </c>
      <c r="G66" t="s">
        <v>133</v>
      </c>
      <c r="H66" t="s">
        <v>122</v>
      </c>
      <c r="I66" t="s">
        <v>129</v>
      </c>
      <c r="J66" t="s">
        <v>147</v>
      </c>
      <c r="K66" t="s">
        <v>126</v>
      </c>
      <c r="L66">
        <v>74</v>
      </c>
      <c r="M66">
        <v>2161</v>
      </c>
    </row>
    <row r="67" spans="1:13" x14ac:dyDescent="0.3">
      <c r="A67" t="s">
        <v>228</v>
      </c>
      <c r="B67">
        <v>1</v>
      </c>
      <c r="C67" t="s">
        <v>148</v>
      </c>
      <c r="D67" t="s">
        <v>127</v>
      </c>
      <c r="E67" t="s">
        <v>128</v>
      </c>
      <c r="F67" t="s">
        <v>126</v>
      </c>
      <c r="G67" t="s">
        <v>152</v>
      </c>
      <c r="H67" t="s">
        <v>122</v>
      </c>
      <c r="I67" t="s">
        <v>129</v>
      </c>
      <c r="J67" t="s">
        <v>147</v>
      </c>
      <c r="K67" t="s">
        <v>126</v>
      </c>
      <c r="L67">
        <v>85</v>
      </c>
      <c r="M67">
        <v>2270</v>
      </c>
    </row>
    <row r="68" spans="1:13" x14ac:dyDescent="0.3">
      <c r="A68" t="s">
        <v>229</v>
      </c>
      <c r="B68">
        <v>1</v>
      </c>
      <c r="C68" t="s">
        <v>148</v>
      </c>
      <c r="D68" t="s">
        <v>127</v>
      </c>
      <c r="E68" t="s">
        <v>128</v>
      </c>
      <c r="F68" t="s">
        <v>126</v>
      </c>
      <c r="G68" t="s">
        <v>152</v>
      </c>
      <c r="H68" t="s">
        <v>122</v>
      </c>
      <c r="I68" t="s">
        <v>159</v>
      </c>
      <c r="J68" t="s">
        <v>147</v>
      </c>
      <c r="K68" t="s">
        <v>126</v>
      </c>
      <c r="L68">
        <v>89</v>
      </c>
      <c r="M68">
        <v>2271</v>
      </c>
    </row>
    <row r="69" spans="1:13" x14ac:dyDescent="0.3">
      <c r="A69" t="s">
        <v>230</v>
      </c>
      <c r="B69">
        <v>1</v>
      </c>
      <c r="C69" t="s">
        <v>148</v>
      </c>
      <c r="D69" t="s">
        <v>127</v>
      </c>
      <c r="E69" t="s">
        <v>128</v>
      </c>
      <c r="F69" t="s">
        <v>126</v>
      </c>
      <c r="G69" t="s">
        <v>152</v>
      </c>
      <c r="H69" t="s">
        <v>122</v>
      </c>
      <c r="I69" t="s">
        <v>159</v>
      </c>
      <c r="J69" t="s">
        <v>124</v>
      </c>
      <c r="K69" t="s">
        <v>126</v>
      </c>
      <c r="L69">
        <v>78</v>
      </c>
      <c r="M69">
        <v>2098</v>
      </c>
    </row>
    <row r="70" spans="1:13" x14ac:dyDescent="0.3">
      <c r="A70" t="s">
        <v>231</v>
      </c>
      <c r="B70">
        <v>1</v>
      </c>
      <c r="C70" t="s">
        <v>123</v>
      </c>
      <c r="D70" t="s">
        <v>127</v>
      </c>
      <c r="E70" t="s">
        <v>128</v>
      </c>
      <c r="F70" t="s">
        <v>126</v>
      </c>
      <c r="G70" t="s">
        <v>152</v>
      </c>
      <c r="H70" t="s">
        <v>130</v>
      </c>
      <c r="I70" t="s">
        <v>129</v>
      </c>
      <c r="J70" t="s">
        <v>124</v>
      </c>
      <c r="K70" t="s">
        <v>126</v>
      </c>
      <c r="L70">
        <v>86</v>
      </c>
      <c r="M70">
        <v>2221</v>
      </c>
    </row>
    <row r="71" spans="1:13" x14ac:dyDescent="0.3">
      <c r="A71" t="s">
        <v>232</v>
      </c>
      <c r="B71">
        <v>1</v>
      </c>
      <c r="C71" t="s">
        <v>148</v>
      </c>
      <c r="D71" t="s">
        <v>127</v>
      </c>
      <c r="E71" t="s">
        <v>128</v>
      </c>
      <c r="F71" t="s">
        <v>126</v>
      </c>
      <c r="G71" t="s">
        <v>152</v>
      </c>
      <c r="H71" t="s">
        <v>122</v>
      </c>
      <c r="I71" t="s">
        <v>129</v>
      </c>
      <c r="J71" t="s">
        <v>147</v>
      </c>
      <c r="K71" t="s">
        <v>126</v>
      </c>
      <c r="L71">
        <v>87</v>
      </c>
      <c r="M71">
        <v>2239</v>
      </c>
    </row>
    <row r="72" spans="1:13" x14ac:dyDescent="0.3">
      <c r="A72" t="s">
        <v>233</v>
      </c>
      <c r="B72">
        <v>1</v>
      </c>
      <c r="C72" t="s">
        <v>148</v>
      </c>
      <c r="D72" t="s">
        <v>127</v>
      </c>
      <c r="E72" t="s">
        <v>128</v>
      </c>
      <c r="F72" t="s">
        <v>126</v>
      </c>
      <c r="G72" t="s">
        <v>152</v>
      </c>
      <c r="H72" t="s">
        <v>122</v>
      </c>
      <c r="I72" t="s">
        <v>129</v>
      </c>
      <c r="J72" t="s">
        <v>124</v>
      </c>
      <c r="K72" t="s">
        <v>84</v>
      </c>
      <c r="L72">
        <v>70</v>
      </c>
      <c r="M72">
        <v>2305</v>
      </c>
    </row>
    <row r="73" spans="1:13" x14ac:dyDescent="0.3">
      <c r="A73" t="s">
        <v>234</v>
      </c>
      <c r="B73">
        <v>1</v>
      </c>
      <c r="C73" t="s">
        <v>148</v>
      </c>
      <c r="D73" t="s">
        <v>127</v>
      </c>
      <c r="E73" t="s">
        <v>128</v>
      </c>
      <c r="F73" t="s">
        <v>126</v>
      </c>
      <c r="G73" t="s">
        <v>152</v>
      </c>
      <c r="H73" t="s">
        <v>122</v>
      </c>
      <c r="I73" t="s">
        <v>129</v>
      </c>
      <c r="J73" t="s">
        <v>147</v>
      </c>
      <c r="K73" t="s">
        <v>126</v>
      </c>
      <c r="L73">
        <v>89</v>
      </c>
      <c r="M73">
        <v>2308</v>
      </c>
    </row>
    <row r="74" spans="1:13" x14ac:dyDescent="0.3">
      <c r="A74" t="s">
        <v>235</v>
      </c>
      <c r="B74">
        <v>1</v>
      </c>
      <c r="C74" t="s">
        <v>148</v>
      </c>
      <c r="D74" t="s">
        <v>127</v>
      </c>
      <c r="E74" t="s">
        <v>128</v>
      </c>
      <c r="F74" t="s">
        <v>126</v>
      </c>
      <c r="G74" t="s">
        <v>152</v>
      </c>
      <c r="H74" t="s">
        <v>122</v>
      </c>
      <c r="I74" t="s">
        <v>159</v>
      </c>
      <c r="J74" t="s">
        <v>124</v>
      </c>
      <c r="K74" t="s">
        <v>128</v>
      </c>
      <c r="L74">
        <v>83</v>
      </c>
      <c r="M74">
        <v>2149</v>
      </c>
    </row>
    <row r="75" spans="1:13" x14ac:dyDescent="0.3">
      <c r="A75" t="s">
        <v>236</v>
      </c>
      <c r="B75">
        <v>1</v>
      </c>
      <c r="C75" t="s">
        <v>148</v>
      </c>
      <c r="D75" t="s">
        <v>127</v>
      </c>
      <c r="E75" t="s">
        <v>125</v>
      </c>
      <c r="F75" t="s">
        <v>126</v>
      </c>
      <c r="G75" t="s">
        <v>152</v>
      </c>
      <c r="H75" t="s">
        <v>130</v>
      </c>
      <c r="I75" t="s">
        <v>129</v>
      </c>
      <c r="J75" t="s">
        <v>124</v>
      </c>
      <c r="K75" t="s">
        <v>148</v>
      </c>
      <c r="L75">
        <v>64</v>
      </c>
      <c r="M75">
        <v>2089</v>
      </c>
    </row>
    <row r="76" spans="1:13" x14ac:dyDescent="0.3">
      <c r="A76" t="s">
        <v>237</v>
      </c>
      <c r="B76">
        <v>1</v>
      </c>
      <c r="C76" t="s">
        <v>148</v>
      </c>
      <c r="D76" t="s">
        <v>127</v>
      </c>
      <c r="E76" t="s">
        <v>125</v>
      </c>
      <c r="F76" t="s">
        <v>126</v>
      </c>
      <c r="G76" t="s">
        <v>152</v>
      </c>
      <c r="H76" t="s">
        <v>122</v>
      </c>
      <c r="I76" t="s">
        <v>129</v>
      </c>
      <c r="J76" t="s">
        <v>147</v>
      </c>
      <c r="K76" t="s">
        <v>126</v>
      </c>
      <c r="L76">
        <v>87</v>
      </c>
      <c r="M76">
        <v>2225</v>
      </c>
    </row>
    <row r="77" spans="1:13" x14ac:dyDescent="0.3">
      <c r="A77" t="s">
        <v>238</v>
      </c>
      <c r="B77">
        <v>0</v>
      </c>
      <c r="C77" t="s">
        <v>84</v>
      </c>
      <c r="D77" t="s">
        <v>84</v>
      </c>
      <c r="E77" t="s">
        <v>84</v>
      </c>
      <c r="F77" t="s">
        <v>84</v>
      </c>
      <c r="G77" t="s">
        <v>84</v>
      </c>
      <c r="H77" t="s">
        <v>84</v>
      </c>
      <c r="I77" t="s">
        <v>84</v>
      </c>
      <c r="J77" t="s">
        <v>84</v>
      </c>
      <c r="K77" t="s">
        <v>84</v>
      </c>
      <c r="L77">
        <v>32</v>
      </c>
      <c r="M77">
        <v>1646</v>
      </c>
    </row>
    <row r="78" spans="1:13" x14ac:dyDescent="0.3">
      <c r="A78" t="s">
        <v>239</v>
      </c>
      <c r="B78">
        <v>1</v>
      </c>
      <c r="C78" t="s">
        <v>123</v>
      </c>
      <c r="D78" t="s">
        <v>131</v>
      </c>
      <c r="E78" t="s">
        <v>128</v>
      </c>
      <c r="F78" t="s">
        <v>126</v>
      </c>
      <c r="G78" t="s">
        <v>152</v>
      </c>
      <c r="H78" t="s">
        <v>130</v>
      </c>
      <c r="I78" t="s">
        <v>159</v>
      </c>
      <c r="J78" t="s">
        <v>124</v>
      </c>
      <c r="K78" t="s">
        <v>126</v>
      </c>
      <c r="L78">
        <v>83</v>
      </c>
      <c r="M78">
        <v>2159</v>
      </c>
    </row>
    <row r="79" spans="1:13" x14ac:dyDescent="0.3">
      <c r="A79" t="s">
        <v>240</v>
      </c>
      <c r="B79">
        <v>1</v>
      </c>
      <c r="C79" t="s">
        <v>148</v>
      </c>
      <c r="D79" t="s">
        <v>127</v>
      </c>
      <c r="E79" t="s">
        <v>128</v>
      </c>
      <c r="F79" t="s">
        <v>126</v>
      </c>
      <c r="G79" t="s">
        <v>152</v>
      </c>
      <c r="H79" t="s">
        <v>122</v>
      </c>
      <c r="I79" t="s">
        <v>129</v>
      </c>
      <c r="J79" t="s">
        <v>147</v>
      </c>
      <c r="K79" t="s">
        <v>126</v>
      </c>
      <c r="L79">
        <v>91</v>
      </c>
      <c r="M79">
        <v>2310</v>
      </c>
    </row>
    <row r="80" spans="1:13" x14ac:dyDescent="0.3">
      <c r="A80" t="s">
        <v>241</v>
      </c>
      <c r="B80">
        <v>0</v>
      </c>
      <c r="C80" t="s">
        <v>84</v>
      </c>
      <c r="D80" t="s">
        <v>84</v>
      </c>
      <c r="E80" t="s">
        <v>84</v>
      </c>
      <c r="F80" t="s">
        <v>84</v>
      </c>
      <c r="G80" t="s">
        <v>84</v>
      </c>
      <c r="H80" t="s">
        <v>84</v>
      </c>
      <c r="I80" t="s">
        <v>84</v>
      </c>
      <c r="J80" t="s">
        <v>84</v>
      </c>
      <c r="K80" t="s">
        <v>84</v>
      </c>
      <c r="L80">
        <v>58</v>
      </c>
      <c r="M80">
        <v>1932</v>
      </c>
    </row>
    <row r="81" spans="1:13" x14ac:dyDescent="0.3">
      <c r="A81" t="s">
        <v>242</v>
      </c>
      <c r="B81">
        <v>0</v>
      </c>
      <c r="C81" t="s">
        <v>84</v>
      </c>
      <c r="D81" t="s">
        <v>84</v>
      </c>
      <c r="E81" t="s">
        <v>84</v>
      </c>
      <c r="F81" t="s">
        <v>84</v>
      </c>
      <c r="G81" t="s">
        <v>84</v>
      </c>
      <c r="H81" t="s">
        <v>84</v>
      </c>
      <c r="I81" t="s">
        <v>84</v>
      </c>
      <c r="J81" t="s">
        <v>84</v>
      </c>
      <c r="K81" t="s">
        <v>84</v>
      </c>
      <c r="L81">
        <v>62</v>
      </c>
      <c r="M81">
        <v>2060</v>
      </c>
    </row>
    <row r="82" spans="1:13" x14ac:dyDescent="0.3">
      <c r="A82" t="s">
        <v>243</v>
      </c>
      <c r="B82">
        <v>0</v>
      </c>
      <c r="C82" t="s">
        <v>84</v>
      </c>
      <c r="D82" t="s">
        <v>84</v>
      </c>
      <c r="E82" t="s">
        <v>84</v>
      </c>
      <c r="F82" t="s">
        <v>84</v>
      </c>
      <c r="G82" t="s">
        <v>84</v>
      </c>
      <c r="H82" t="s">
        <v>84</v>
      </c>
      <c r="I82" t="s">
        <v>84</v>
      </c>
      <c r="J82" t="s">
        <v>84</v>
      </c>
      <c r="K82" t="s">
        <v>84</v>
      </c>
      <c r="L82">
        <v>57</v>
      </c>
      <c r="M82">
        <v>1924</v>
      </c>
    </row>
    <row r="83" spans="1:13" x14ac:dyDescent="0.3">
      <c r="A83" t="s">
        <v>244</v>
      </c>
      <c r="B83">
        <v>1</v>
      </c>
      <c r="C83" t="s">
        <v>148</v>
      </c>
      <c r="D83" t="s">
        <v>127</v>
      </c>
      <c r="E83" t="s">
        <v>125</v>
      </c>
      <c r="F83" t="s">
        <v>126</v>
      </c>
      <c r="G83" t="s">
        <v>152</v>
      </c>
      <c r="H83" t="s">
        <v>122</v>
      </c>
      <c r="I83" t="s">
        <v>129</v>
      </c>
      <c r="J83" t="s">
        <v>147</v>
      </c>
      <c r="K83" t="s">
        <v>126</v>
      </c>
      <c r="L83">
        <v>59</v>
      </c>
      <c r="M83">
        <v>1918</v>
      </c>
    </row>
    <row r="84" spans="1:13" x14ac:dyDescent="0.3">
      <c r="A84" t="s">
        <v>245</v>
      </c>
      <c r="B84">
        <v>0</v>
      </c>
      <c r="C84" t="s">
        <v>84</v>
      </c>
      <c r="D84" t="s">
        <v>84</v>
      </c>
      <c r="E84" t="s">
        <v>84</v>
      </c>
      <c r="F84" t="s">
        <v>84</v>
      </c>
      <c r="G84" t="s">
        <v>84</v>
      </c>
      <c r="H84" t="s">
        <v>84</v>
      </c>
      <c r="I84" t="s">
        <v>84</v>
      </c>
      <c r="J84" t="s">
        <v>84</v>
      </c>
      <c r="K84" t="s">
        <v>84</v>
      </c>
      <c r="L84">
        <v>44</v>
      </c>
      <c r="M84">
        <v>1723</v>
      </c>
    </row>
    <row r="85" spans="1:13" x14ac:dyDescent="0.3">
      <c r="A85" t="s">
        <v>246</v>
      </c>
      <c r="B85">
        <v>0</v>
      </c>
      <c r="C85" t="s">
        <v>84</v>
      </c>
      <c r="D85" t="s">
        <v>84</v>
      </c>
      <c r="E85" t="s">
        <v>84</v>
      </c>
      <c r="F85" t="s">
        <v>84</v>
      </c>
      <c r="G85" t="s">
        <v>84</v>
      </c>
      <c r="H85" t="s">
        <v>84</v>
      </c>
      <c r="I85" t="s">
        <v>84</v>
      </c>
      <c r="J85" t="s">
        <v>84</v>
      </c>
      <c r="K85" t="s">
        <v>84</v>
      </c>
      <c r="L85">
        <v>22</v>
      </c>
      <c r="M85">
        <v>1567</v>
      </c>
    </row>
    <row r="86" spans="1:13" x14ac:dyDescent="0.3">
      <c r="A86" t="s">
        <v>247</v>
      </c>
      <c r="B86">
        <v>0</v>
      </c>
      <c r="C86" t="s">
        <v>84</v>
      </c>
      <c r="D86" t="s">
        <v>84</v>
      </c>
      <c r="E86" t="s">
        <v>84</v>
      </c>
      <c r="F86" t="s">
        <v>84</v>
      </c>
      <c r="G86" t="s">
        <v>84</v>
      </c>
      <c r="H86" t="s">
        <v>84</v>
      </c>
      <c r="I86" t="s">
        <v>84</v>
      </c>
      <c r="J86" t="s">
        <v>84</v>
      </c>
      <c r="K86" t="s">
        <v>84</v>
      </c>
      <c r="L86" t="s">
        <v>84</v>
      </c>
      <c r="M86" t="s">
        <v>84</v>
      </c>
    </row>
    <row r="87" spans="1:13" x14ac:dyDescent="0.3">
      <c r="A87" t="s">
        <v>247</v>
      </c>
      <c r="B87">
        <v>0</v>
      </c>
      <c r="C87" t="s">
        <v>84</v>
      </c>
      <c r="D87" t="s">
        <v>84</v>
      </c>
      <c r="E87" t="s">
        <v>84</v>
      </c>
      <c r="F87" t="s">
        <v>84</v>
      </c>
      <c r="G87" t="s">
        <v>84</v>
      </c>
      <c r="H87" t="s">
        <v>84</v>
      </c>
      <c r="I87" t="s">
        <v>84</v>
      </c>
      <c r="J87" t="s">
        <v>84</v>
      </c>
      <c r="K87" t="s">
        <v>84</v>
      </c>
      <c r="L87" t="s">
        <v>84</v>
      </c>
      <c r="M87" t="s">
        <v>84</v>
      </c>
    </row>
    <row r="88" spans="1:13" x14ac:dyDescent="0.3">
      <c r="A88" t="s">
        <v>247</v>
      </c>
      <c r="B88">
        <v>0</v>
      </c>
      <c r="C88" t="s">
        <v>84</v>
      </c>
      <c r="D88" t="s">
        <v>84</v>
      </c>
      <c r="E88" t="s">
        <v>84</v>
      </c>
      <c r="F88" t="s">
        <v>84</v>
      </c>
      <c r="G88" t="s">
        <v>84</v>
      </c>
      <c r="H88" t="s">
        <v>84</v>
      </c>
      <c r="I88" t="s">
        <v>84</v>
      </c>
      <c r="J88" t="s">
        <v>84</v>
      </c>
      <c r="K88" t="s">
        <v>84</v>
      </c>
      <c r="L88" t="s">
        <v>84</v>
      </c>
      <c r="M88" t="s">
        <v>84</v>
      </c>
    </row>
    <row r="89" spans="1:13" x14ac:dyDescent="0.3">
      <c r="A89" t="s">
        <v>247</v>
      </c>
      <c r="B89">
        <v>0</v>
      </c>
      <c r="C89" t="s">
        <v>84</v>
      </c>
      <c r="D89" t="s">
        <v>84</v>
      </c>
      <c r="E89" t="s">
        <v>84</v>
      </c>
      <c r="F89" t="s">
        <v>84</v>
      </c>
      <c r="G89" t="s">
        <v>84</v>
      </c>
      <c r="H89" t="s">
        <v>84</v>
      </c>
      <c r="I89" t="s">
        <v>84</v>
      </c>
      <c r="J89" t="s">
        <v>84</v>
      </c>
      <c r="K89" t="s">
        <v>84</v>
      </c>
      <c r="L89" t="s">
        <v>84</v>
      </c>
      <c r="M89" t="s">
        <v>84</v>
      </c>
    </row>
    <row r="90" spans="1:13" x14ac:dyDescent="0.3">
      <c r="A90" t="s">
        <v>247</v>
      </c>
      <c r="B90">
        <v>0</v>
      </c>
      <c r="C90" t="s">
        <v>84</v>
      </c>
      <c r="D90" t="s">
        <v>84</v>
      </c>
      <c r="E90" t="s">
        <v>84</v>
      </c>
      <c r="F90" t="s">
        <v>84</v>
      </c>
      <c r="G90" t="s">
        <v>84</v>
      </c>
      <c r="H90" t="s">
        <v>84</v>
      </c>
      <c r="I90" t="s">
        <v>84</v>
      </c>
      <c r="J90" t="s">
        <v>84</v>
      </c>
      <c r="K90" t="s">
        <v>84</v>
      </c>
      <c r="L90" t="s">
        <v>84</v>
      </c>
      <c r="M90" t="s">
        <v>84</v>
      </c>
    </row>
    <row r="91" spans="1:13" x14ac:dyDescent="0.3">
      <c r="A91" t="s">
        <v>247</v>
      </c>
      <c r="B91">
        <v>0</v>
      </c>
      <c r="C91" t="s">
        <v>84</v>
      </c>
      <c r="D91" t="s">
        <v>84</v>
      </c>
      <c r="E91" t="s">
        <v>84</v>
      </c>
      <c r="F91" t="s">
        <v>84</v>
      </c>
      <c r="G91" t="s">
        <v>84</v>
      </c>
      <c r="H91" t="s">
        <v>84</v>
      </c>
      <c r="I91" t="s">
        <v>84</v>
      </c>
      <c r="J91" t="s">
        <v>84</v>
      </c>
      <c r="K91" t="s">
        <v>84</v>
      </c>
      <c r="L91" t="s">
        <v>84</v>
      </c>
      <c r="M91" t="s">
        <v>84</v>
      </c>
    </row>
    <row r="92" spans="1:13" x14ac:dyDescent="0.3">
      <c r="A92" t="s">
        <v>247</v>
      </c>
      <c r="B92">
        <v>0</v>
      </c>
      <c r="C92" t="s">
        <v>84</v>
      </c>
      <c r="D92" t="s">
        <v>84</v>
      </c>
      <c r="E92" t="s">
        <v>84</v>
      </c>
      <c r="F92" t="s">
        <v>84</v>
      </c>
      <c r="G92" t="s">
        <v>84</v>
      </c>
      <c r="H92" t="s">
        <v>84</v>
      </c>
      <c r="I92" t="s">
        <v>84</v>
      </c>
      <c r="J92" t="s">
        <v>84</v>
      </c>
      <c r="K92" t="s">
        <v>84</v>
      </c>
      <c r="L92" t="s">
        <v>84</v>
      </c>
      <c r="M92" t="s">
        <v>84</v>
      </c>
    </row>
    <row r="93" spans="1:13" x14ac:dyDescent="0.3">
      <c r="A93" t="s">
        <v>247</v>
      </c>
      <c r="B93">
        <v>0</v>
      </c>
      <c r="C93" t="s">
        <v>84</v>
      </c>
      <c r="D93" t="s">
        <v>84</v>
      </c>
      <c r="E93" t="s">
        <v>84</v>
      </c>
      <c r="F93" t="s">
        <v>84</v>
      </c>
      <c r="G93" t="s">
        <v>84</v>
      </c>
      <c r="H93" t="s">
        <v>84</v>
      </c>
      <c r="I93" t="s">
        <v>84</v>
      </c>
      <c r="J93" t="s">
        <v>84</v>
      </c>
      <c r="K93" t="s">
        <v>84</v>
      </c>
      <c r="L93" t="s">
        <v>84</v>
      </c>
      <c r="M93" t="s">
        <v>84</v>
      </c>
    </row>
    <row r="94" spans="1:13" x14ac:dyDescent="0.3">
      <c r="A94" t="s">
        <v>247</v>
      </c>
      <c r="B94">
        <v>0</v>
      </c>
      <c r="C94" t="s">
        <v>84</v>
      </c>
      <c r="D94" t="s">
        <v>84</v>
      </c>
      <c r="E94" t="s">
        <v>84</v>
      </c>
      <c r="F94" t="s">
        <v>84</v>
      </c>
      <c r="G94" t="s">
        <v>84</v>
      </c>
      <c r="H94" t="s">
        <v>84</v>
      </c>
      <c r="I94" t="s">
        <v>84</v>
      </c>
      <c r="J94" t="s">
        <v>84</v>
      </c>
      <c r="K94" t="s">
        <v>84</v>
      </c>
      <c r="L94" t="s">
        <v>84</v>
      </c>
      <c r="M94" t="s">
        <v>84</v>
      </c>
    </row>
    <row r="95" spans="1:13" x14ac:dyDescent="0.3">
      <c r="A95" t="s">
        <v>247</v>
      </c>
      <c r="B95">
        <v>0</v>
      </c>
      <c r="C95" t="s">
        <v>84</v>
      </c>
      <c r="D95" t="s">
        <v>84</v>
      </c>
      <c r="E95" t="s">
        <v>84</v>
      </c>
      <c r="F95" t="s">
        <v>84</v>
      </c>
      <c r="G95" t="s">
        <v>84</v>
      </c>
      <c r="H95" t="s">
        <v>84</v>
      </c>
      <c r="I95" t="s">
        <v>84</v>
      </c>
      <c r="J95" t="s">
        <v>84</v>
      </c>
      <c r="K95" t="s">
        <v>84</v>
      </c>
      <c r="L95" t="s">
        <v>84</v>
      </c>
      <c r="M95" t="s">
        <v>84</v>
      </c>
    </row>
    <row r="96" spans="1:13" x14ac:dyDescent="0.3">
      <c r="A96" t="s">
        <v>248</v>
      </c>
      <c r="B96">
        <v>1</v>
      </c>
      <c r="C96" t="s">
        <v>148</v>
      </c>
      <c r="D96" t="s">
        <v>127</v>
      </c>
      <c r="E96" t="s">
        <v>128</v>
      </c>
      <c r="F96" t="s">
        <v>126</v>
      </c>
      <c r="G96" t="s">
        <v>133</v>
      </c>
      <c r="H96" t="s">
        <v>122</v>
      </c>
      <c r="I96" t="s">
        <v>159</v>
      </c>
      <c r="J96" t="s">
        <v>147</v>
      </c>
      <c r="K96" t="s">
        <v>126</v>
      </c>
      <c r="L96">
        <v>70</v>
      </c>
      <c r="M96">
        <v>2086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4" sqref="A14:A16"/>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8"/>
      <c r="B2" s="178"/>
    </row>
    <row r="3" spans="1:2" x14ac:dyDescent="0.25">
      <c r="A3" s="178"/>
      <c r="B3" s="178"/>
    </row>
    <row r="4" spans="1:2" x14ac:dyDescent="0.25">
      <c r="A4" s="178"/>
      <c r="B4" s="178"/>
    </row>
    <row r="5" spans="1:2" x14ac:dyDescent="0.25">
      <c r="A5" s="185"/>
      <c r="B5" s="178"/>
    </row>
    <row r="6" spans="1:2" ht="12.75" customHeight="1" x14ac:dyDescent="0.25">
      <c r="A6" s="185"/>
      <c r="B6" s="178"/>
    </row>
    <row r="7" spans="1:2" ht="12.75" customHeight="1" x14ac:dyDescent="0.25">
      <c r="A7" s="185"/>
      <c r="B7" s="178"/>
    </row>
    <row r="8" spans="1:2" ht="12.75" customHeight="1" x14ac:dyDescent="0.25">
      <c r="A8" s="178"/>
      <c r="B8" s="178"/>
    </row>
    <row r="9" spans="1:2" ht="12.75" customHeight="1" x14ac:dyDescent="0.25">
      <c r="A9" s="178"/>
      <c r="B9" s="178"/>
    </row>
    <row r="10" spans="1:2" ht="12.75" customHeight="1" x14ac:dyDescent="0.25">
      <c r="A10" s="178"/>
      <c r="B10" s="178"/>
    </row>
    <row r="11" spans="1:2" x14ac:dyDescent="0.25">
      <c r="A11" s="178"/>
      <c r="B11" s="178"/>
    </row>
    <row r="12" spans="1:2" ht="12.75" customHeight="1" x14ac:dyDescent="0.25">
      <c r="A12" s="178"/>
      <c r="B12" s="178"/>
    </row>
    <row r="13" spans="1:2" ht="12.75" customHeight="1" x14ac:dyDescent="0.25">
      <c r="A13" s="178"/>
      <c r="B13" s="178"/>
    </row>
    <row r="14" spans="1:2" ht="12.75" customHeight="1" x14ac:dyDescent="0.25">
      <c r="A14" s="179"/>
      <c r="B14" s="178"/>
    </row>
    <row r="15" spans="1:2" ht="12.75" customHeight="1" x14ac:dyDescent="0.25">
      <c r="A15" s="179"/>
      <c r="B15" s="178"/>
    </row>
    <row r="16" spans="1:2" x14ac:dyDescent="0.25">
      <c r="A16" s="179"/>
      <c r="B16" s="178"/>
    </row>
    <row r="17" spans="1:2" x14ac:dyDescent="0.25">
      <c r="A17" s="180"/>
      <c r="B17" s="180"/>
    </row>
    <row r="18" spans="1:2" x14ac:dyDescent="0.25">
      <c r="A18" s="180"/>
      <c r="B18" s="180"/>
    </row>
    <row r="19" spans="1:2" x14ac:dyDescent="0.25">
      <c r="A19" s="180"/>
      <c r="B19" s="180"/>
    </row>
    <row r="20" spans="1:2" x14ac:dyDescent="0.25">
      <c r="A20" s="180"/>
      <c r="B20" s="180"/>
    </row>
    <row r="21" spans="1:2" x14ac:dyDescent="0.25">
      <c r="A21" s="180"/>
      <c r="B21" s="180"/>
    </row>
    <row r="22" spans="1:2" x14ac:dyDescent="0.25">
      <c r="A22" s="180"/>
      <c r="B22" s="180"/>
    </row>
    <row r="23" spans="1:2" x14ac:dyDescent="0.25">
      <c r="A23" s="178"/>
      <c r="B23" s="178"/>
    </row>
    <row r="24" spans="1:2" x14ac:dyDescent="0.25">
      <c r="A24" s="178"/>
      <c r="B24" s="178"/>
    </row>
    <row r="25" spans="1:2" x14ac:dyDescent="0.25">
      <c r="A25" s="178"/>
      <c r="B25" s="178"/>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2020-08-06T17:53:19Z</dcterms:modified>
</cp:coreProperties>
</file>